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joshuavarghese/Library/Mobile Documents/com~apple~CloudDocs/DD project/Public &amp; Privates with deep disclosure/Boardwalk/"/>
    </mc:Choice>
  </mc:AlternateContent>
  <xr:revisionPtr revIDLastSave="0" documentId="8_{E889D1D4-7842-C24D-A563-2DE397B4CB56}" xr6:coauthVersionLast="47" xr6:coauthVersionMax="47" xr10:uidLastSave="{00000000-0000-0000-0000-000000000000}"/>
  <bookViews>
    <workbookView xWindow="0" yWindow="680" windowWidth="30240" windowHeight="18120" tabRatio="500" xr2:uid="{00000000-000D-0000-FFFF-FFFF00000000}"/>
  </bookViews>
  <sheets>
    <sheet name="Assumptions" sheetId="1" r:id="rId1"/>
    <sheet name="Return Profile" sheetId="2" r:id="rId2"/>
    <sheet name="IS" sheetId="3" r:id="rId3"/>
    <sheet name="BS" sheetId="4" r:id="rId4"/>
    <sheet name="CFS" sheetId="5" r:id="rId5"/>
    <sheet name="FFO_AFFO" sheetId="6" r:id="rId6"/>
    <sheet name="CFS-FCF" sheetId="7" r:id="rId7"/>
    <sheet name="Ops" sheetId="8" r:id="rId8"/>
    <sheet name="ROIC" sheetId="9" r:id="rId9"/>
    <sheet name="Amplification" sheetId="10" r:id="rId10"/>
    <sheet name="Value Leakage" sheetId="11" r:id="rId11"/>
    <sheet name="Implied Cap" sheetId="12" r:id="rId12"/>
    <sheet name="Capex Detail" sheetId="13" r:id="rId13"/>
    <sheet name="Capital Recycling" sheetId="14" r:id="rId14"/>
    <sheet name="Development Pipeline" sheetId="15" r:id="rId15"/>
    <sheet name="IP Rollforward" sheetId="16" r:id="rId16"/>
    <sheet name="Debt Maturity" sheetId="17" r:id="rId17"/>
    <sheet name="Sources &amp; Uses" sheetId="18" r:id="rId18"/>
    <sheet name="NAV &amp; Buyback" sheetId="19" r:id="rId19"/>
    <sheet name="Private Buyer Math" sheetId="20" r:id="rId20"/>
    <sheet name="Scenario Builder" sheetId="21" r:id="rId21"/>
    <sheet name="Capital Scenarios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1" i="22" l="1"/>
  <c r="B85" i="22"/>
  <c r="D82" i="22"/>
  <c r="B49" i="22"/>
  <c r="B28" i="22"/>
  <c r="E27" i="22"/>
  <c r="G26" i="22"/>
  <c r="F26" i="22"/>
  <c r="E26" i="22"/>
  <c r="D26" i="22"/>
  <c r="D27" i="22" s="1"/>
  <c r="C26" i="22"/>
  <c r="C27" i="22" s="1"/>
  <c r="G25" i="22"/>
  <c r="G27" i="22" s="1"/>
  <c r="F25" i="22"/>
  <c r="F27" i="22" s="1"/>
  <c r="E25" i="22"/>
  <c r="D25" i="22"/>
  <c r="C25" i="22"/>
  <c r="B10" i="22"/>
  <c r="J117" i="21"/>
  <c r="H117" i="21"/>
  <c r="I116" i="21"/>
  <c r="I115" i="21"/>
  <c r="I114" i="21"/>
  <c r="I104" i="21"/>
  <c r="H103" i="21"/>
  <c r="H102" i="21"/>
  <c r="I117" i="21" s="1"/>
  <c r="J100" i="21"/>
  <c r="I100" i="21"/>
  <c r="H100" i="21"/>
  <c r="H98" i="21"/>
  <c r="I97" i="21"/>
  <c r="H96" i="21"/>
  <c r="I96" i="21" s="1"/>
  <c r="J96" i="21" s="1"/>
  <c r="K96" i="21" s="1"/>
  <c r="L96" i="21" s="1"/>
  <c r="M96" i="21" s="1"/>
  <c r="I95" i="21"/>
  <c r="J95" i="21" s="1"/>
  <c r="H95" i="21"/>
  <c r="J82" i="21"/>
  <c r="I82" i="21"/>
  <c r="H82" i="21"/>
  <c r="K78" i="21"/>
  <c r="L78" i="21" s="1"/>
  <c r="M78" i="21" s="1"/>
  <c r="I78" i="21"/>
  <c r="J78" i="21" s="1"/>
  <c r="H78" i="21"/>
  <c r="J77" i="21"/>
  <c r="J79" i="21" s="1"/>
  <c r="I77" i="21"/>
  <c r="H77" i="21"/>
  <c r="H64" i="21"/>
  <c r="H60" i="21"/>
  <c r="H61" i="21" s="1"/>
  <c r="H59" i="21"/>
  <c r="I59" i="21" s="1"/>
  <c r="J37" i="21"/>
  <c r="K37" i="21" s="1"/>
  <c r="K42" i="21" s="1"/>
  <c r="I37" i="21"/>
  <c r="I42" i="21" s="1"/>
  <c r="H37" i="21"/>
  <c r="H27" i="21"/>
  <c r="L26" i="21"/>
  <c r="J26" i="21"/>
  <c r="J25" i="21"/>
  <c r="H84" i="21" s="1"/>
  <c r="I84" i="21" s="1"/>
  <c r="L24" i="21"/>
  <c r="K24" i="21"/>
  <c r="K26" i="21" s="1"/>
  <c r="J24" i="21"/>
  <c r="H80" i="21" s="1"/>
  <c r="H20" i="21"/>
  <c r="H19" i="21"/>
  <c r="B87" i="20"/>
  <c r="C28" i="20"/>
  <c r="D28" i="20" s="1"/>
  <c r="E28" i="20" s="1"/>
  <c r="F28" i="20" s="1"/>
  <c r="G28" i="20" s="1"/>
  <c r="B28" i="20"/>
  <c r="B26" i="20"/>
  <c r="B25" i="20"/>
  <c r="C25" i="20" s="1"/>
  <c r="D25" i="20" s="1"/>
  <c r="E25" i="20" s="1"/>
  <c r="F25" i="20" s="1"/>
  <c r="G25" i="20" s="1"/>
  <c r="B16" i="20"/>
  <c r="Q86" i="19"/>
  <c r="P86" i="19"/>
  <c r="O86" i="19"/>
  <c r="N86" i="19"/>
  <c r="M86" i="19"/>
  <c r="B67" i="19"/>
  <c r="B65" i="19"/>
  <c r="B66" i="19" s="1"/>
  <c r="B63" i="19"/>
  <c r="B64" i="19" s="1"/>
  <c r="B68" i="19" s="1"/>
  <c r="B62" i="19"/>
  <c r="B61" i="19"/>
  <c r="L26" i="19"/>
  <c r="L16" i="19"/>
  <c r="I27" i="18"/>
  <c r="I26" i="18"/>
  <c r="I22" i="18"/>
  <c r="L21" i="18"/>
  <c r="K21" i="18"/>
  <c r="J21" i="18"/>
  <c r="I21" i="18"/>
  <c r="H21" i="18"/>
  <c r="G21" i="18"/>
  <c r="F21" i="18"/>
  <c r="E21" i="18"/>
  <c r="E22" i="18" s="1"/>
  <c r="D21" i="18"/>
  <c r="C21" i="18"/>
  <c r="B21" i="18"/>
  <c r="L20" i="18"/>
  <c r="K20" i="18"/>
  <c r="J20" i="18"/>
  <c r="I20" i="18"/>
  <c r="H20" i="18"/>
  <c r="G20" i="18"/>
  <c r="F20" i="18"/>
  <c r="F22" i="18" s="1"/>
  <c r="E20" i="18"/>
  <c r="D20" i="18"/>
  <c r="C20" i="18"/>
  <c r="B20" i="18"/>
  <c r="L19" i="18"/>
  <c r="K19" i="18"/>
  <c r="K22" i="18" s="1"/>
  <c r="J19" i="18"/>
  <c r="I19" i="18"/>
  <c r="H19" i="18"/>
  <c r="G19" i="18"/>
  <c r="F19" i="18"/>
  <c r="E19" i="18"/>
  <c r="D19" i="18"/>
  <c r="S19" i="18" s="1"/>
  <c r="C19" i="18"/>
  <c r="B19" i="18"/>
  <c r="L18" i="18"/>
  <c r="K18" i="18"/>
  <c r="J18" i="18"/>
  <c r="I18" i="18"/>
  <c r="H18" i="18"/>
  <c r="G18" i="18"/>
  <c r="F18" i="18"/>
  <c r="E18" i="18"/>
  <c r="D18" i="18"/>
  <c r="C18" i="18"/>
  <c r="B18" i="18"/>
  <c r="L17" i="18"/>
  <c r="K17" i="18"/>
  <c r="J17" i="18"/>
  <c r="I17" i="18"/>
  <c r="H17" i="18"/>
  <c r="G17" i="18"/>
  <c r="F17" i="18"/>
  <c r="E17" i="18"/>
  <c r="D17" i="18"/>
  <c r="C17" i="18"/>
  <c r="C22" i="18" s="1"/>
  <c r="B17" i="18"/>
  <c r="L16" i="18"/>
  <c r="K16" i="18"/>
  <c r="J16" i="18"/>
  <c r="I16" i="18"/>
  <c r="H16" i="18"/>
  <c r="G16" i="18"/>
  <c r="F16" i="18"/>
  <c r="E16" i="18"/>
  <c r="D16" i="18"/>
  <c r="C16" i="18"/>
  <c r="B16" i="18"/>
  <c r="B13" i="18"/>
  <c r="L10" i="18"/>
  <c r="L13" i="18" s="1"/>
  <c r="K10" i="18"/>
  <c r="J10" i="18"/>
  <c r="I10" i="18"/>
  <c r="H10" i="18"/>
  <c r="G10" i="18"/>
  <c r="F10" i="18"/>
  <c r="E10" i="18"/>
  <c r="D10" i="18"/>
  <c r="C10" i="18"/>
  <c r="B10" i="18"/>
  <c r="L9" i="18"/>
  <c r="K9" i="18"/>
  <c r="J9" i="18"/>
  <c r="I9" i="18"/>
  <c r="H9" i="18"/>
  <c r="H13" i="18" s="1"/>
  <c r="H27" i="18" s="1"/>
  <c r="G9" i="18"/>
  <c r="F9" i="18"/>
  <c r="E9" i="18"/>
  <c r="S9" i="18" s="1"/>
  <c r="D9" i="18"/>
  <c r="C9" i="18"/>
  <c r="B9" i="18"/>
  <c r="L8" i="18"/>
  <c r="K8" i="18"/>
  <c r="K13" i="18" s="1"/>
  <c r="J8" i="18"/>
  <c r="J13" i="18" s="1"/>
  <c r="I8" i="18"/>
  <c r="I13" i="18" s="1"/>
  <c r="I24" i="18" s="1"/>
  <c r="H8" i="18"/>
  <c r="G8" i="18"/>
  <c r="F8" i="18"/>
  <c r="E8" i="18"/>
  <c r="D8" i="18"/>
  <c r="D13" i="18" s="1"/>
  <c r="C8" i="18"/>
  <c r="B8" i="18"/>
  <c r="Q27" i="17"/>
  <c r="Q28" i="17" s="1"/>
  <c r="P27" i="17"/>
  <c r="O27" i="17"/>
  <c r="O28" i="17" s="1"/>
  <c r="N27" i="17"/>
  <c r="M27" i="17"/>
  <c r="M28" i="17" s="1"/>
  <c r="Q26" i="17"/>
  <c r="P26" i="17"/>
  <c r="O26" i="17"/>
  <c r="N26" i="17"/>
  <c r="M26" i="17"/>
  <c r="Q25" i="17"/>
  <c r="P25" i="17"/>
  <c r="O25" i="17"/>
  <c r="N25" i="17"/>
  <c r="M25" i="17"/>
  <c r="Q22" i="17"/>
  <c r="P22" i="17"/>
  <c r="O22" i="17"/>
  <c r="N22" i="17"/>
  <c r="M22" i="17"/>
  <c r="L21" i="17"/>
  <c r="I21" i="17"/>
  <c r="H21" i="17"/>
  <c r="D21" i="17"/>
  <c r="C21" i="17"/>
  <c r="B21" i="17"/>
  <c r="L19" i="17"/>
  <c r="K19" i="17"/>
  <c r="K21" i="17" s="1"/>
  <c r="J19" i="17"/>
  <c r="J21" i="17" s="1"/>
  <c r="I19" i="17"/>
  <c r="H19" i="17"/>
  <c r="G19" i="17"/>
  <c r="G21" i="17" s="1"/>
  <c r="F19" i="17"/>
  <c r="F21" i="17" s="1"/>
  <c r="E19" i="17"/>
  <c r="E21" i="17" s="1"/>
  <c r="D19" i="17"/>
  <c r="C19" i="17"/>
  <c r="B19" i="17"/>
  <c r="L16" i="17"/>
  <c r="K16" i="17"/>
  <c r="J16" i="17"/>
  <c r="I16" i="17"/>
  <c r="H16" i="17"/>
  <c r="G16" i="17"/>
  <c r="F16" i="17"/>
  <c r="E16" i="17"/>
  <c r="D16" i="17"/>
  <c r="C16" i="17"/>
  <c r="B16" i="17"/>
  <c r="L15" i="17"/>
  <c r="K15" i="17"/>
  <c r="J15" i="17"/>
  <c r="I15" i="17"/>
  <c r="H15" i="17"/>
  <c r="G15" i="17"/>
  <c r="F15" i="17"/>
  <c r="E15" i="17"/>
  <c r="D15" i="17"/>
  <c r="C15" i="17"/>
  <c r="B15" i="17"/>
  <c r="Q10" i="17"/>
  <c r="P10" i="17"/>
  <c r="O10" i="17"/>
  <c r="N10" i="17"/>
  <c r="M10" i="17"/>
  <c r="Q11" i="16"/>
  <c r="P11" i="16"/>
  <c r="O11" i="16"/>
  <c r="N11" i="16"/>
  <c r="M11" i="16"/>
  <c r="Q9" i="16"/>
  <c r="P9" i="16"/>
  <c r="O9" i="16"/>
  <c r="N9" i="16"/>
  <c r="M9" i="16"/>
  <c r="Q8" i="16"/>
  <c r="P8" i="16"/>
  <c r="O8" i="16"/>
  <c r="N8" i="16"/>
  <c r="M8" i="16"/>
  <c r="M7" i="16"/>
  <c r="B30" i="14"/>
  <c r="C29" i="14"/>
  <c r="D28" i="14"/>
  <c r="C28" i="14"/>
  <c r="H27" i="14"/>
  <c r="I27" i="14" s="1"/>
  <c r="J27" i="14" s="1"/>
  <c r="K27" i="14" s="1"/>
  <c r="L27" i="14" s="1"/>
  <c r="F27" i="14"/>
  <c r="G27" i="14" s="1"/>
  <c r="E27" i="14"/>
  <c r="D27" i="14"/>
  <c r="C27" i="14"/>
  <c r="K24" i="14"/>
  <c r="J24" i="14"/>
  <c r="H24" i="14"/>
  <c r="F24" i="14"/>
  <c r="D24" i="14"/>
  <c r="C24" i="14"/>
  <c r="L23" i="14"/>
  <c r="L24" i="14" s="1"/>
  <c r="K23" i="14"/>
  <c r="J23" i="14"/>
  <c r="I23" i="14"/>
  <c r="I24" i="14" s="1"/>
  <c r="H23" i="14"/>
  <c r="G23" i="14"/>
  <c r="G24" i="14" s="1"/>
  <c r="F23" i="14"/>
  <c r="E23" i="14"/>
  <c r="E24" i="14" s="1"/>
  <c r="D23" i="14"/>
  <c r="C23" i="14"/>
  <c r="B23" i="14"/>
  <c r="B24" i="14" s="1"/>
  <c r="L19" i="14"/>
  <c r="K19" i="14"/>
  <c r="I19" i="14"/>
  <c r="H19" i="14"/>
  <c r="C19" i="14"/>
  <c r="B19" i="14"/>
  <c r="L25" i="13"/>
  <c r="K25" i="13"/>
  <c r="J25" i="13"/>
  <c r="I25" i="13"/>
  <c r="H25" i="13"/>
  <c r="G25" i="13"/>
  <c r="F25" i="13"/>
  <c r="E25" i="13"/>
  <c r="D25" i="13"/>
  <c r="C25" i="13"/>
  <c r="B25" i="13"/>
  <c r="L24" i="13"/>
  <c r="K24" i="13"/>
  <c r="J24" i="13"/>
  <c r="I24" i="13"/>
  <c r="H24" i="13"/>
  <c r="G24" i="13"/>
  <c r="F24" i="13"/>
  <c r="E24" i="13"/>
  <c r="D24" i="13"/>
  <c r="C24" i="13"/>
  <c r="B24" i="13"/>
  <c r="L23" i="13"/>
  <c r="K23" i="13"/>
  <c r="J23" i="13"/>
  <c r="I23" i="13"/>
  <c r="H23" i="13"/>
  <c r="G23" i="13"/>
  <c r="F23" i="13"/>
  <c r="E23" i="13"/>
  <c r="D23" i="13"/>
  <c r="C23" i="13"/>
  <c r="B23" i="13"/>
  <c r="L16" i="13"/>
  <c r="K16" i="13"/>
  <c r="J16" i="13"/>
  <c r="I16" i="13"/>
  <c r="H16" i="13"/>
  <c r="G16" i="13"/>
  <c r="F16" i="13"/>
  <c r="E16" i="13"/>
  <c r="D16" i="13"/>
  <c r="C16" i="13"/>
  <c r="B16" i="13"/>
  <c r="Q15" i="13"/>
  <c r="M15" i="13"/>
  <c r="N15" i="13" s="1"/>
  <c r="O15" i="13" s="1"/>
  <c r="P15" i="13" s="1"/>
  <c r="N14" i="13"/>
  <c r="O14" i="13" s="1"/>
  <c r="P14" i="13" s="1"/>
  <c r="Q14" i="13" s="1"/>
  <c r="M14" i="13"/>
  <c r="Q13" i="13"/>
  <c r="M13" i="13"/>
  <c r="N13" i="13" s="1"/>
  <c r="O13" i="13" s="1"/>
  <c r="P13" i="13" s="1"/>
  <c r="M12" i="13"/>
  <c r="N12" i="13" s="1"/>
  <c r="O12" i="13" s="1"/>
  <c r="P12" i="13" s="1"/>
  <c r="Q12" i="13" s="1"/>
  <c r="M11" i="13"/>
  <c r="N11" i="13" s="1"/>
  <c r="O11" i="13" s="1"/>
  <c r="P11" i="13" s="1"/>
  <c r="Q11" i="13" s="1"/>
  <c r="M10" i="13"/>
  <c r="N10" i="13" s="1"/>
  <c r="O10" i="13" s="1"/>
  <c r="P10" i="13" s="1"/>
  <c r="Q10" i="13" s="1"/>
  <c r="M9" i="13"/>
  <c r="N9" i="13" s="1"/>
  <c r="O9" i="13" s="1"/>
  <c r="P9" i="13" s="1"/>
  <c r="Q9" i="13" s="1"/>
  <c r="K27" i="12"/>
  <c r="J27" i="12"/>
  <c r="I27" i="12"/>
  <c r="H27" i="12"/>
  <c r="G27" i="12"/>
  <c r="E27" i="12"/>
  <c r="B27" i="12"/>
  <c r="L14" i="12"/>
  <c r="L27" i="12" s="1"/>
  <c r="K14" i="12"/>
  <c r="J14" i="12"/>
  <c r="I14" i="12"/>
  <c r="H14" i="12"/>
  <c r="G14" i="12"/>
  <c r="F14" i="12"/>
  <c r="F27" i="12" s="1"/>
  <c r="E14" i="12"/>
  <c r="D14" i="12"/>
  <c r="D27" i="12" s="1"/>
  <c r="C14" i="12"/>
  <c r="C27" i="12" s="1"/>
  <c r="B14" i="12"/>
  <c r="L9" i="12"/>
  <c r="K9" i="12"/>
  <c r="J9" i="12"/>
  <c r="I9" i="12"/>
  <c r="H9" i="12"/>
  <c r="G9" i="12"/>
  <c r="F9" i="12"/>
  <c r="E9" i="12"/>
  <c r="D9" i="12"/>
  <c r="C9" i="12"/>
  <c r="B9" i="12"/>
  <c r="S37" i="11"/>
  <c r="M37" i="11"/>
  <c r="L21" i="11"/>
  <c r="K21" i="11"/>
  <c r="J21" i="11"/>
  <c r="I21" i="11"/>
  <c r="H21" i="11"/>
  <c r="G21" i="11"/>
  <c r="F21" i="11"/>
  <c r="E21" i="11"/>
  <c r="D21" i="11"/>
  <c r="C21" i="11"/>
  <c r="B21" i="11"/>
  <c r="L19" i="11"/>
  <c r="K19" i="11"/>
  <c r="J19" i="11"/>
  <c r="I19" i="11"/>
  <c r="H19" i="11"/>
  <c r="G19" i="11"/>
  <c r="F19" i="11"/>
  <c r="E19" i="11"/>
  <c r="D19" i="11"/>
  <c r="C19" i="11"/>
  <c r="B19" i="11"/>
  <c r="L18" i="11"/>
  <c r="K18" i="11"/>
  <c r="J18" i="11"/>
  <c r="I18" i="11"/>
  <c r="H18" i="11"/>
  <c r="G18" i="11"/>
  <c r="F18" i="11"/>
  <c r="E18" i="11"/>
  <c r="D18" i="11"/>
  <c r="C18" i="11"/>
  <c r="L17" i="11"/>
  <c r="K17" i="11"/>
  <c r="J17" i="11"/>
  <c r="I17" i="11"/>
  <c r="H17" i="11"/>
  <c r="G17" i="11"/>
  <c r="F17" i="11"/>
  <c r="E17" i="11"/>
  <c r="D17" i="11"/>
  <c r="C17" i="11"/>
  <c r="B17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M13" i="11"/>
  <c r="S13" i="11" s="1"/>
  <c r="L13" i="11"/>
  <c r="K13" i="11"/>
  <c r="J13" i="11"/>
  <c r="I13" i="11"/>
  <c r="H13" i="11"/>
  <c r="G13" i="11"/>
  <c r="F13" i="11"/>
  <c r="E13" i="11"/>
  <c r="D13" i="11"/>
  <c r="C13" i="11"/>
  <c r="B13" i="11"/>
  <c r="S10" i="11"/>
  <c r="M10" i="11"/>
  <c r="L9" i="11"/>
  <c r="K9" i="11"/>
  <c r="J9" i="11"/>
  <c r="I9" i="11"/>
  <c r="H9" i="11"/>
  <c r="G9" i="11"/>
  <c r="F9" i="11"/>
  <c r="E9" i="11"/>
  <c r="D9" i="11"/>
  <c r="C9" i="11"/>
  <c r="L8" i="11"/>
  <c r="K8" i="11"/>
  <c r="J8" i="11"/>
  <c r="I8" i="11"/>
  <c r="H8" i="11"/>
  <c r="G8" i="11"/>
  <c r="F8" i="11"/>
  <c r="E8" i="11"/>
  <c r="D8" i="11"/>
  <c r="C8" i="11"/>
  <c r="B8" i="11"/>
  <c r="L34" i="10"/>
  <c r="I34" i="10"/>
  <c r="H34" i="10"/>
  <c r="G34" i="10"/>
  <c r="E34" i="10"/>
  <c r="D34" i="10"/>
  <c r="C34" i="10"/>
  <c r="L33" i="10"/>
  <c r="K33" i="10"/>
  <c r="K34" i="10" s="1"/>
  <c r="J33" i="10"/>
  <c r="J34" i="10" s="1"/>
  <c r="I33" i="10"/>
  <c r="H33" i="10"/>
  <c r="G33" i="10"/>
  <c r="F33" i="10"/>
  <c r="F34" i="10" s="1"/>
  <c r="E33" i="10"/>
  <c r="D33" i="10"/>
  <c r="C33" i="10"/>
  <c r="L32" i="10"/>
  <c r="J32" i="10"/>
  <c r="I32" i="10"/>
  <c r="G32" i="10"/>
  <c r="E32" i="10"/>
  <c r="L31" i="10"/>
  <c r="K31" i="10"/>
  <c r="K32" i="10" s="1"/>
  <c r="J31" i="10"/>
  <c r="I31" i="10"/>
  <c r="H31" i="10"/>
  <c r="H32" i="10" s="1"/>
  <c r="G31" i="10"/>
  <c r="F31" i="10"/>
  <c r="F32" i="10" s="1"/>
  <c r="E31" i="10"/>
  <c r="D31" i="10"/>
  <c r="D32" i="10" s="1"/>
  <c r="C31" i="10"/>
  <c r="C32" i="10" s="1"/>
  <c r="B25" i="10"/>
  <c r="B23" i="10"/>
  <c r="L22" i="10"/>
  <c r="J22" i="10"/>
  <c r="G22" i="10"/>
  <c r="F22" i="10"/>
  <c r="C22" i="10"/>
  <c r="B22" i="10"/>
  <c r="B24" i="10" s="1"/>
  <c r="L14" i="10"/>
  <c r="K14" i="10"/>
  <c r="J14" i="10"/>
  <c r="I14" i="10"/>
  <c r="I22" i="10" s="1"/>
  <c r="H14" i="10"/>
  <c r="G14" i="10"/>
  <c r="F14" i="10"/>
  <c r="E14" i="10"/>
  <c r="D14" i="10"/>
  <c r="D22" i="10" s="1"/>
  <c r="C14" i="10"/>
  <c r="B14" i="10"/>
  <c r="B26" i="10" s="1"/>
  <c r="E64" i="9"/>
  <c r="C64" i="9"/>
  <c r="L43" i="9"/>
  <c r="K43" i="9"/>
  <c r="J43" i="9"/>
  <c r="I43" i="9"/>
  <c r="H43" i="9"/>
  <c r="G43" i="9"/>
  <c r="F43" i="9"/>
  <c r="E43" i="9"/>
  <c r="D43" i="9"/>
  <c r="C43" i="9"/>
  <c r="B43" i="9"/>
  <c r="L37" i="9"/>
  <c r="K37" i="9"/>
  <c r="J37" i="9"/>
  <c r="I37" i="9"/>
  <c r="H37" i="9"/>
  <c r="G37" i="9"/>
  <c r="F37" i="9"/>
  <c r="E37" i="9"/>
  <c r="D37" i="9"/>
  <c r="C37" i="9"/>
  <c r="B37" i="9"/>
  <c r="E36" i="9"/>
  <c r="E35" i="9"/>
  <c r="C35" i="9"/>
  <c r="C36" i="9" s="1"/>
  <c r="B35" i="9"/>
  <c r="B36" i="9" s="1"/>
  <c r="B38" i="9" s="1"/>
  <c r="L34" i="9"/>
  <c r="K34" i="9"/>
  <c r="J34" i="9"/>
  <c r="I34" i="9"/>
  <c r="H34" i="9"/>
  <c r="G34" i="9"/>
  <c r="F34" i="9"/>
  <c r="E34" i="9"/>
  <c r="D34" i="9"/>
  <c r="C34" i="9"/>
  <c r="B34" i="9"/>
  <c r="B64" i="9" s="1"/>
  <c r="D29" i="9"/>
  <c r="B29" i="9"/>
  <c r="L22" i="9"/>
  <c r="K22" i="9"/>
  <c r="J22" i="9"/>
  <c r="I22" i="9"/>
  <c r="H22" i="9"/>
  <c r="G22" i="9"/>
  <c r="F22" i="9"/>
  <c r="E22" i="9"/>
  <c r="D22" i="9"/>
  <c r="C22" i="9"/>
  <c r="B22" i="9"/>
  <c r="E17" i="9"/>
  <c r="D17" i="9"/>
  <c r="D35" i="9" s="1"/>
  <c r="C17" i="9"/>
  <c r="C29" i="9" s="1"/>
  <c r="L16" i="9"/>
  <c r="K16" i="9"/>
  <c r="J16" i="9"/>
  <c r="I16" i="9"/>
  <c r="H16" i="9"/>
  <c r="G16" i="9"/>
  <c r="F16" i="9"/>
  <c r="E16" i="9"/>
  <c r="D16" i="9"/>
  <c r="C16" i="9"/>
  <c r="B16" i="9"/>
  <c r="B107" i="8"/>
  <c r="B108" i="8" s="1"/>
  <c r="C105" i="8"/>
  <c r="L103" i="8"/>
  <c r="K103" i="8"/>
  <c r="J103" i="8"/>
  <c r="I103" i="8"/>
  <c r="H103" i="8"/>
  <c r="G103" i="8"/>
  <c r="F103" i="8"/>
  <c r="E103" i="8"/>
  <c r="D103" i="8"/>
  <c r="C103" i="8"/>
  <c r="B103" i="8"/>
  <c r="L100" i="8"/>
  <c r="K100" i="8"/>
  <c r="J100" i="8"/>
  <c r="I100" i="8"/>
  <c r="H100" i="8"/>
  <c r="G100" i="8"/>
  <c r="F100" i="8"/>
  <c r="E100" i="8"/>
  <c r="D100" i="8"/>
  <c r="C100" i="8"/>
  <c r="B100" i="8"/>
  <c r="L99" i="8"/>
  <c r="K99" i="8"/>
  <c r="J99" i="8"/>
  <c r="I99" i="8"/>
  <c r="H99" i="8"/>
  <c r="G99" i="8"/>
  <c r="F99" i="8"/>
  <c r="E99" i="8"/>
  <c r="D99" i="8"/>
  <c r="C99" i="8"/>
  <c r="B99" i="8"/>
  <c r="C96" i="8"/>
  <c r="C101" i="8" s="1"/>
  <c r="C104" i="8" s="1"/>
  <c r="B96" i="8"/>
  <c r="E95" i="8"/>
  <c r="F95" i="8" s="1"/>
  <c r="G95" i="8" s="1"/>
  <c r="H95" i="8" s="1"/>
  <c r="I95" i="8" s="1"/>
  <c r="J95" i="8" s="1"/>
  <c r="K95" i="8" s="1"/>
  <c r="L95" i="8" s="1"/>
  <c r="D95" i="8"/>
  <c r="C95" i="8"/>
  <c r="C94" i="8"/>
  <c r="C107" i="8" s="1"/>
  <c r="C108" i="8" s="1"/>
  <c r="C110" i="8" s="1"/>
  <c r="L78" i="8"/>
  <c r="K78" i="8"/>
  <c r="J78" i="8"/>
  <c r="I78" i="8"/>
  <c r="H78" i="8"/>
  <c r="G78" i="8"/>
  <c r="F78" i="8"/>
  <c r="E78" i="8"/>
  <c r="D78" i="8"/>
  <c r="C78" i="8"/>
  <c r="B78" i="8"/>
  <c r="L70" i="8"/>
  <c r="K70" i="8"/>
  <c r="J70" i="8"/>
  <c r="I70" i="8"/>
  <c r="H70" i="8"/>
  <c r="G70" i="8"/>
  <c r="F70" i="8"/>
  <c r="E70" i="8"/>
  <c r="D70" i="8"/>
  <c r="C70" i="8"/>
  <c r="B70" i="8"/>
  <c r="L61" i="8"/>
  <c r="K61" i="8"/>
  <c r="J61" i="8"/>
  <c r="I61" i="8"/>
  <c r="H61" i="8"/>
  <c r="G61" i="8"/>
  <c r="F61" i="8"/>
  <c r="E61" i="8"/>
  <c r="D61" i="8"/>
  <c r="C61" i="8"/>
  <c r="B61" i="8"/>
  <c r="O58" i="8"/>
  <c r="P58" i="8" s="1"/>
  <c r="Q58" i="8" s="1"/>
  <c r="N58" i="8"/>
  <c r="M58" i="8"/>
  <c r="N57" i="8"/>
  <c r="O57" i="8" s="1"/>
  <c r="P57" i="8" s="1"/>
  <c r="Q57" i="8" s="1"/>
  <c r="M57" i="8"/>
  <c r="N56" i="8"/>
  <c r="O56" i="8" s="1"/>
  <c r="P56" i="8" s="1"/>
  <c r="Q56" i="8" s="1"/>
  <c r="M56" i="8"/>
  <c r="M55" i="8"/>
  <c r="N55" i="8" s="1"/>
  <c r="O55" i="8" s="1"/>
  <c r="P55" i="8" s="1"/>
  <c r="Q55" i="8" s="1"/>
  <c r="O54" i="8"/>
  <c r="P54" i="8" s="1"/>
  <c r="Q54" i="8" s="1"/>
  <c r="M54" i="8"/>
  <c r="N54" i="8" s="1"/>
  <c r="O53" i="8"/>
  <c r="P53" i="8" s="1"/>
  <c r="Q53" i="8" s="1"/>
  <c r="N53" i="8"/>
  <c r="M53" i="8"/>
  <c r="L43" i="8"/>
  <c r="K43" i="8"/>
  <c r="J43" i="8"/>
  <c r="I43" i="8"/>
  <c r="H43" i="8"/>
  <c r="G43" i="8"/>
  <c r="F43" i="8"/>
  <c r="E43" i="8"/>
  <c r="D43" i="8"/>
  <c r="C43" i="8"/>
  <c r="B43" i="8"/>
  <c r="Q42" i="8"/>
  <c r="P42" i="8"/>
  <c r="O42" i="8"/>
  <c r="N42" i="8"/>
  <c r="M42" i="8"/>
  <c r="Q41" i="8"/>
  <c r="P41" i="8"/>
  <c r="O41" i="8"/>
  <c r="N41" i="8"/>
  <c r="M41" i="8"/>
  <c r="Q40" i="8"/>
  <c r="P40" i="8"/>
  <c r="O40" i="8"/>
  <c r="N40" i="8"/>
  <c r="M40" i="8"/>
  <c r="Q39" i="8"/>
  <c r="P39" i="8"/>
  <c r="O39" i="8"/>
  <c r="N39" i="8"/>
  <c r="M39" i="8"/>
  <c r="Q38" i="8"/>
  <c r="P38" i="8"/>
  <c r="O38" i="8"/>
  <c r="N38" i="8"/>
  <c r="M38" i="8"/>
  <c r="Q37" i="8"/>
  <c r="P37" i="8"/>
  <c r="O37" i="8"/>
  <c r="N37" i="8"/>
  <c r="M37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K49" i="7"/>
  <c r="H49" i="7"/>
  <c r="E49" i="7"/>
  <c r="D49" i="7"/>
  <c r="C49" i="7"/>
  <c r="L48" i="7"/>
  <c r="K48" i="7"/>
  <c r="J48" i="7"/>
  <c r="J49" i="7" s="1"/>
  <c r="I48" i="7"/>
  <c r="H48" i="7"/>
  <c r="G48" i="7"/>
  <c r="F48" i="7"/>
  <c r="E48" i="7"/>
  <c r="D48" i="7"/>
  <c r="C48" i="7"/>
  <c r="B48" i="7"/>
  <c r="L39" i="7"/>
  <c r="L49" i="7" s="1"/>
  <c r="K39" i="7"/>
  <c r="J39" i="7"/>
  <c r="I39" i="7"/>
  <c r="H39" i="7"/>
  <c r="G39" i="7"/>
  <c r="F39" i="7"/>
  <c r="E39" i="7"/>
  <c r="D39" i="7"/>
  <c r="C39" i="7"/>
  <c r="B39" i="7"/>
  <c r="B49" i="7" s="1"/>
  <c r="L33" i="7"/>
  <c r="K33" i="7"/>
  <c r="J33" i="7"/>
  <c r="I33" i="7"/>
  <c r="H33" i="7"/>
  <c r="G33" i="7"/>
  <c r="F33" i="7"/>
  <c r="E33" i="7"/>
  <c r="D33" i="7"/>
  <c r="C33" i="7"/>
  <c r="B33" i="7"/>
  <c r="L32" i="7"/>
  <c r="K32" i="7"/>
  <c r="J32" i="7"/>
  <c r="I32" i="7"/>
  <c r="H32" i="7"/>
  <c r="G32" i="7"/>
  <c r="F32" i="7"/>
  <c r="E32" i="7"/>
  <c r="D32" i="7"/>
  <c r="C32" i="7"/>
  <c r="B32" i="7"/>
  <c r="K27" i="7"/>
  <c r="K28" i="7" s="1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B15" i="7"/>
  <c r="K11" i="7"/>
  <c r="K15" i="10" s="1"/>
  <c r="L10" i="7"/>
  <c r="L27" i="11" s="1"/>
  <c r="K10" i="7"/>
  <c r="F10" i="7"/>
  <c r="E10" i="7"/>
  <c r="E27" i="11" s="1"/>
  <c r="L9" i="7"/>
  <c r="K9" i="7"/>
  <c r="J9" i="7"/>
  <c r="I9" i="7"/>
  <c r="H9" i="7"/>
  <c r="G9" i="7"/>
  <c r="G10" i="7" s="1"/>
  <c r="F9" i="7"/>
  <c r="E9" i="7"/>
  <c r="D9" i="7"/>
  <c r="C9" i="7"/>
  <c r="B9" i="7"/>
  <c r="L8" i="7"/>
  <c r="K8" i="7"/>
  <c r="J8" i="7"/>
  <c r="J10" i="7" s="1"/>
  <c r="I8" i="7"/>
  <c r="I10" i="7" s="1"/>
  <c r="H8" i="7"/>
  <c r="G8" i="7"/>
  <c r="F8" i="7"/>
  <c r="E8" i="7"/>
  <c r="D8" i="7"/>
  <c r="D10" i="7" s="1"/>
  <c r="C8" i="7"/>
  <c r="C10" i="7" s="1"/>
  <c r="B8" i="7"/>
  <c r="B10" i="7" s="1"/>
  <c r="L34" i="6"/>
  <c r="K34" i="6"/>
  <c r="K28" i="11" s="1"/>
  <c r="J34" i="6"/>
  <c r="I34" i="6"/>
  <c r="I28" i="11" s="1"/>
  <c r="H34" i="6"/>
  <c r="G34" i="6"/>
  <c r="G28" i="11" s="1"/>
  <c r="F34" i="6"/>
  <c r="F28" i="11" s="1"/>
  <c r="E34" i="6"/>
  <c r="E28" i="11" s="1"/>
  <c r="D34" i="6"/>
  <c r="D28" i="11" s="1"/>
  <c r="C34" i="6"/>
  <c r="C28" i="11" s="1"/>
  <c r="B34" i="6"/>
  <c r="Q33" i="6"/>
  <c r="C85" i="22" s="1"/>
  <c r="E85" i="22" s="1"/>
  <c r="P33" i="6"/>
  <c r="P16" i="7" s="1"/>
  <c r="O33" i="6"/>
  <c r="N33" i="6"/>
  <c r="M33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Q14" i="6"/>
  <c r="P14" i="6"/>
  <c r="O14" i="6"/>
  <c r="N14" i="6"/>
  <c r="M14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L9" i="6"/>
  <c r="K9" i="6"/>
  <c r="J9" i="6"/>
  <c r="I9" i="6"/>
  <c r="H9" i="6"/>
  <c r="G9" i="6"/>
  <c r="F9" i="6"/>
  <c r="E9" i="6"/>
  <c r="D9" i="6"/>
  <c r="C9" i="6"/>
  <c r="B9" i="6"/>
  <c r="K41" i="5"/>
  <c r="K39" i="5"/>
  <c r="F39" i="5"/>
  <c r="F41" i="5" s="1"/>
  <c r="L37" i="5"/>
  <c r="K37" i="5"/>
  <c r="J37" i="5"/>
  <c r="I37" i="5"/>
  <c r="H37" i="5"/>
  <c r="G37" i="5"/>
  <c r="F37" i="5"/>
  <c r="E37" i="5"/>
  <c r="D37" i="5"/>
  <c r="C37" i="5"/>
  <c r="B37" i="5"/>
  <c r="Q34" i="5"/>
  <c r="P34" i="5"/>
  <c r="O34" i="5"/>
  <c r="N34" i="5"/>
  <c r="M34" i="5"/>
  <c r="Q33" i="5"/>
  <c r="P33" i="5"/>
  <c r="P9" i="18" s="1"/>
  <c r="O33" i="5"/>
  <c r="O9" i="18" s="1"/>
  <c r="N33" i="5"/>
  <c r="N9" i="18" s="1"/>
  <c r="M33" i="5"/>
  <c r="M9" i="18" s="1"/>
  <c r="Q32" i="5"/>
  <c r="Q18" i="18" s="1"/>
  <c r="P32" i="5"/>
  <c r="P18" i="18" s="1"/>
  <c r="O32" i="5"/>
  <c r="O18" i="18" s="1"/>
  <c r="N32" i="5"/>
  <c r="M32" i="5"/>
  <c r="M18" i="18" s="1"/>
  <c r="L29" i="5"/>
  <c r="L39" i="5" s="1"/>
  <c r="L41" i="5" s="1"/>
  <c r="K29" i="5"/>
  <c r="J29" i="5"/>
  <c r="J39" i="5" s="1"/>
  <c r="J41" i="5" s="1"/>
  <c r="I29" i="5"/>
  <c r="I39" i="5" s="1"/>
  <c r="I41" i="5" s="1"/>
  <c r="H29" i="5"/>
  <c r="G29" i="5"/>
  <c r="G39" i="5" s="1"/>
  <c r="G41" i="5" s="1"/>
  <c r="F29" i="5"/>
  <c r="E29" i="5"/>
  <c r="E39" i="5" s="1"/>
  <c r="E41" i="5" s="1"/>
  <c r="D29" i="5"/>
  <c r="D39" i="5" s="1"/>
  <c r="D41" i="5" s="1"/>
  <c r="C29" i="5"/>
  <c r="C39" i="5" s="1"/>
  <c r="C41" i="5" s="1"/>
  <c r="B29" i="5"/>
  <c r="B39" i="5" s="1"/>
  <c r="B41" i="5" s="1"/>
  <c r="Q28" i="5"/>
  <c r="Q20" i="18" s="1"/>
  <c r="P28" i="5"/>
  <c r="P20" i="18" s="1"/>
  <c r="O28" i="5"/>
  <c r="O20" i="18" s="1"/>
  <c r="N28" i="5"/>
  <c r="N20" i="18" s="1"/>
  <c r="M28" i="5"/>
  <c r="M20" i="18" s="1"/>
  <c r="M27" i="5"/>
  <c r="M19" i="18" s="1"/>
  <c r="Q23" i="5"/>
  <c r="Q48" i="7" s="1"/>
  <c r="P23" i="5"/>
  <c r="P48" i="7" s="1"/>
  <c r="O23" i="5"/>
  <c r="O48" i="7" s="1"/>
  <c r="N23" i="5"/>
  <c r="N48" i="7" s="1"/>
  <c r="M23" i="5"/>
  <c r="M48" i="7" s="1"/>
  <c r="Q22" i="5"/>
  <c r="Q17" i="5"/>
  <c r="P17" i="5"/>
  <c r="O17" i="5"/>
  <c r="N17" i="5"/>
  <c r="M17" i="5"/>
  <c r="Q15" i="5"/>
  <c r="P15" i="5"/>
  <c r="O15" i="5"/>
  <c r="N15" i="5"/>
  <c r="M15" i="5"/>
  <c r="Q11" i="5"/>
  <c r="P11" i="5"/>
  <c r="O11" i="5"/>
  <c r="N11" i="5"/>
  <c r="M11" i="5"/>
  <c r="Q10" i="5"/>
  <c r="P10" i="5"/>
  <c r="O10" i="5"/>
  <c r="N10" i="5"/>
  <c r="M10" i="5"/>
  <c r="L52" i="4"/>
  <c r="K52" i="4"/>
  <c r="J52" i="4"/>
  <c r="I52" i="4"/>
  <c r="H52" i="4"/>
  <c r="G52" i="4"/>
  <c r="F52" i="4"/>
  <c r="E52" i="4"/>
  <c r="D52" i="4"/>
  <c r="C52" i="4"/>
  <c r="B52" i="4"/>
  <c r="J50" i="4"/>
  <c r="J11" i="12" s="1"/>
  <c r="I50" i="4"/>
  <c r="I11" i="12" s="1"/>
  <c r="F50" i="4"/>
  <c r="F11" i="12" s="1"/>
  <c r="C50" i="4"/>
  <c r="C11" i="12" s="1"/>
  <c r="L49" i="4"/>
  <c r="K49" i="4"/>
  <c r="J49" i="4"/>
  <c r="J21" i="9" s="1"/>
  <c r="I49" i="4"/>
  <c r="I21" i="9" s="1"/>
  <c r="H49" i="4"/>
  <c r="G49" i="4"/>
  <c r="G21" i="9" s="1"/>
  <c r="F49" i="4"/>
  <c r="F21" i="9" s="1"/>
  <c r="E49" i="4"/>
  <c r="D49" i="4"/>
  <c r="D21" i="9" s="1"/>
  <c r="C49" i="4"/>
  <c r="C21" i="9" s="1"/>
  <c r="B49" i="4"/>
  <c r="B21" i="9" s="1"/>
  <c r="K43" i="4"/>
  <c r="K83" i="19" s="1"/>
  <c r="H43" i="4"/>
  <c r="H83" i="19" s="1"/>
  <c r="G43" i="4"/>
  <c r="G83" i="19" s="1"/>
  <c r="D43" i="4"/>
  <c r="D83" i="19" s="1"/>
  <c r="L41" i="4"/>
  <c r="K41" i="4"/>
  <c r="J41" i="4"/>
  <c r="J43" i="4" s="1"/>
  <c r="I41" i="4"/>
  <c r="H41" i="4"/>
  <c r="G41" i="4"/>
  <c r="F41" i="4"/>
  <c r="E41" i="4"/>
  <c r="D41" i="4"/>
  <c r="C41" i="4"/>
  <c r="B41" i="4"/>
  <c r="Q40" i="4"/>
  <c r="P40" i="4"/>
  <c r="O40" i="4"/>
  <c r="N40" i="4"/>
  <c r="M40" i="4"/>
  <c r="L34" i="4"/>
  <c r="L43" i="4" s="1"/>
  <c r="L83" i="19" s="1"/>
  <c r="K34" i="4"/>
  <c r="J34" i="4"/>
  <c r="I34" i="4"/>
  <c r="I43" i="4" s="1"/>
  <c r="I83" i="19" s="1"/>
  <c r="H34" i="4"/>
  <c r="G34" i="4"/>
  <c r="F34" i="4"/>
  <c r="F43" i="4" s="1"/>
  <c r="F83" i="19" s="1"/>
  <c r="E34" i="4"/>
  <c r="E43" i="4" s="1"/>
  <c r="E83" i="19" s="1"/>
  <c r="D34" i="4"/>
  <c r="C34" i="4"/>
  <c r="C43" i="4" s="1"/>
  <c r="C83" i="19" s="1"/>
  <c r="B34" i="4"/>
  <c r="B43" i="4" s="1"/>
  <c r="B83" i="19" s="1"/>
  <c r="Q33" i="4"/>
  <c r="P33" i="4"/>
  <c r="O33" i="4"/>
  <c r="N33" i="4"/>
  <c r="M33" i="4"/>
  <c r="Q30" i="4"/>
  <c r="P30" i="4"/>
  <c r="O30" i="4"/>
  <c r="N30" i="4"/>
  <c r="M30" i="4"/>
  <c r="C29" i="2" s="1"/>
  <c r="L25" i="4"/>
  <c r="K25" i="4"/>
  <c r="J25" i="4"/>
  <c r="I25" i="4"/>
  <c r="H25" i="4"/>
  <c r="G25" i="4"/>
  <c r="F25" i="4"/>
  <c r="E25" i="4"/>
  <c r="D25" i="4"/>
  <c r="C25" i="4"/>
  <c r="B25" i="4"/>
  <c r="H20" i="4"/>
  <c r="H12" i="12" s="1"/>
  <c r="G20" i="4"/>
  <c r="Q18" i="4"/>
  <c r="Q82" i="19" s="1"/>
  <c r="N18" i="4"/>
  <c r="N82" i="19" s="1"/>
  <c r="L18" i="4"/>
  <c r="K18" i="4"/>
  <c r="K82" i="19" s="1"/>
  <c r="J18" i="4"/>
  <c r="J82" i="19" s="1"/>
  <c r="I18" i="4"/>
  <c r="I82" i="19" s="1"/>
  <c r="H18" i="4"/>
  <c r="H82" i="19" s="1"/>
  <c r="G18" i="4"/>
  <c r="G82" i="19" s="1"/>
  <c r="F18" i="4"/>
  <c r="F82" i="19" s="1"/>
  <c r="E18" i="4"/>
  <c r="E82" i="19" s="1"/>
  <c r="D18" i="4"/>
  <c r="D82" i="19" s="1"/>
  <c r="C18" i="4"/>
  <c r="C82" i="19" s="1"/>
  <c r="B18" i="4"/>
  <c r="B82" i="19" s="1"/>
  <c r="Q14" i="4"/>
  <c r="Q22" i="9" s="1"/>
  <c r="P14" i="4"/>
  <c r="O14" i="4"/>
  <c r="N14" i="4"/>
  <c r="N22" i="9" s="1"/>
  <c r="M14" i="4"/>
  <c r="M22" i="9" s="1"/>
  <c r="L11" i="4"/>
  <c r="K11" i="4"/>
  <c r="J11" i="4"/>
  <c r="I11" i="4"/>
  <c r="I20" i="4" s="1"/>
  <c r="H11" i="4"/>
  <c r="G11" i="4"/>
  <c r="F11" i="4"/>
  <c r="F20" i="4" s="1"/>
  <c r="E11" i="4"/>
  <c r="E20" i="4" s="1"/>
  <c r="D11" i="4"/>
  <c r="D20" i="4" s="1"/>
  <c r="C11" i="4"/>
  <c r="C20" i="4" s="1"/>
  <c r="B11" i="4"/>
  <c r="B20" i="4" s="1"/>
  <c r="B46" i="3"/>
  <c r="L44" i="3"/>
  <c r="L42" i="3"/>
  <c r="K42" i="3"/>
  <c r="J42" i="3"/>
  <c r="I42" i="3"/>
  <c r="H42" i="3"/>
  <c r="G42" i="3"/>
  <c r="F42" i="3"/>
  <c r="E42" i="3"/>
  <c r="D42" i="3"/>
  <c r="C42" i="3"/>
  <c r="B42" i="3"/>
  <c r="I41" i="3"/>
  <c r="G41" i="3"/>
  <c r="L40" i="3"/>
  <c r="K40" i="3"/>
  <c r="J40" i="3"/>
  <c r="I40" i="3"/>
  <c r="H40" i="3"/>
  <c r="G40" i="3"/>
  <c r="F40" i="3"/>
  <c r="E40" i="3"/>
  <c r="D40" i="3"/>
  <c r="C40" i="3"/>
  <c r="K39" i="3"/>
  <c r="G39" i="3"/>
  <c r="I36" i="3"/>
  <c r="K33" i="3"/>
  <c r="K36" i="3" s="1"/>
  <c r="I33" i="3"/>
  <c r="K20" i="3"/>
  <c r="J20" i="3"/>
  <c r="I20" i="3"/>
  <c r="I54" i="4" s="1"/>
  <c r="F20" i="3"/>
  <c r="F39" i="3" s="1"/>
  <c r="C20" i="3"/>
  <c r="B20" i="3"/>
  <c r="M18" i="3"/>
  <c r="L18" i="3"/>
  <c r="L20" i="3" s="1"/>
  <c r="K18" i="3"/>
  <c r="J18" i="3"/>
  <c r="I18" i="3"/>
  <c r="H18" i="3"/>
  <c r="H20" i="3" s="1"/>
  <c r="G18" i="3"/>
  <c r="G20" i="3" s="1"/>
  <c r="F18" i="3"/>
  <c r="E18" i="3"/>
  <c r="E20" i="3" s="1"/>
  <c r="D18" i="3"/>
  <c r="D20" i="3" s="1"/>
  <c r="C18" i="3"/>
  <c r="B18" i="3"/>
  <c r="N17" i="3"/>
  <c r="O17" i="3" s="1"/>
  <c r="P17" i="3" s="1"/>
  <c r="Q17" i="3" s="1"/>
  <c r="M17" i="3"/>
  <c r="O16" i="3"/>
  <c r="P16" i="3" s="1"/>
  <c r="Q16" i="3" s="1"/>
  <c r="N16" i="3"/>
  <c r="M16" i="3"/>
  <c r="N15" i="3"/>
  <c r="M15" i="3"/>
  <c r="C128" i="2"/>
  <c r="B128" i="2"/>
  <c r="D127" i="2"/>
  <c r="C127" i="2"/>
  <c r="B127" i="2"/>
  <c r="B126" i="2"/>
  <c r="D125" i="2"/>
  <c r="B124" i="2"/>
  <c r="D106" i="2"/>
  <c r="C106" i="2"/>
  <c r="C125" i="2" s="1"/>
  <c r="B106" i="2"/>
  <c r="B125" i="2" s="1"/>
  <c r="D105" i="2"/>
  <c r="C105" i="2"/>
  <c r="B105" i="2"/>
  <c r="B79" i="2"/>
  <c r="B74" i="2"/>
  <c r="H69" i="2"/>
  <c r="B69" i="2"/>
  <c r="G67" i="2"/>
  <c r="E67" i="2"/>
  <c r="E69" i="2" s="1"/>
  <c r="C67" i="2"/>
  <c r="C69" i="2" s="1"/>
  <c r="B66" i="2"/>
  <c r="G46" i="2"/>
  <c r="F46" i="2"/>
  <c r="F67" i="2" s="1"/>
  <c r="F69" i="2" s="1"/>
  <c r="E46" i="2"/>
  <c r="D46" i="2"/>
  <c r="D67" i="2" s="1"/>
  <c r="D69" i="2" s="1"/>
  <c r="C46" i="2"/>
  <c r="B46" i="2"/>
  <c r="G29" i="2"/>
  <c r="F29" i="2"/>
  <c r="E29" i="2"/>
  <c r="D29" i="2"/>
  <c r="B29" i="2"/>
  <c r="B27" i="2"/>
  <c r="B22" i="2"/>
  <c r="B12" i="2"/>
  <c r="B11" i="2"/>
  <c r="B10" i="2"/>
  <c r="B101" i="1"/>
  <c r="F100" i="1"/>
  <c r="E100" i="1"/>
  <c r="D100" i="1"/>
  <c r="C100" i="1"/>
  <c r="B100" i="1"/>
  <c r="F99" i="1"/>
  <c r="F56" i="1" s="1"/>
  <c r="E99" i="1"/>
  <c r="D99" i="1"/>
  <c r="D56" i="1" s="1"/>
  <c r="C99" i="1"/>
  <c r="B99" i="1"/>
  <c r="B56" i="1" s="1"/>
  <c r="F97" i="1"/>
  <c r="E97" i="1"/>
  <c r="D97" i="1"/>
  <c r="C97" i="1"/>
  <c r="B97" i="1"/>
  <c r="F96" i="1"/>
  <c r="E96" i="1"/>
  <c r="D96" i="1"/>
  <c r="C96" i="1"/>
  <c r="B96" i="1"/>
  <c r="B74" i="1"/>
  <c r="M24" i="6" s="1"/>
  <c r="M22" i="13" s="1"/>
  <c r="B70" i="1"/>
  <c r="B63" i="1"/>
  <c r="B69" i="1" s="1"/>
  <c r="F62" i="1"/>
  <c r="E62" i="1"/>
  <c r="D62" i="1"/>
  <c r="C62" i="1"/>
  <c r="B62" i="1"/>
  <c r="B61" i="1"/>
  <c r="B51" i="1" s="1"/>
  <c r="M29" i="8" s="1"/>
  <c r="E56" i="1"/>
  <c r="C56" i="1"/>
  <c r="B53" i="1"/>
  <c r="B52" i="1"/>
  <c r="G51" i="1"/>
  <c r="F48" i="1"/>
  <c r="E48" i="1"/>
  <c r="P22" i="5" s="1"/>
  <c r="D48" i="1"/>
  <c r="O22" i="5" s="1"/>
  <c r="C48" i="1"/>
  <c r="N22" i="5" s="1"/>
  <c r="B48" i="1"/>
  <c r="M22" i="5" s="1"/>
  <c r="B47" i="1"/>
  <c r="B46" i="1"/>
  <c r="F45" i="1"/>
  <c r="E45" i="1"/>
  <c r="D45" i="1"/>
  <c r="C45" i="1"/>
  <c r="B45" i="1"/>
  <c r="F42" i="1"/>
  <c r="Q21" i="5" s="1"/>
  <c r="Q10" i="18" s="1"/>
  <c r="E42" i="1"/>
  <c r="P21" i="5" s="1"/>
  <c r="D42" i="1"/>
  <c r="O21" i="5" s="1"/>
  <c r="C42" i="1"/>
  <c r="N21" i="5" s="1"/>
  <c r="B42" i="1"/>
  <c r="M21" i="5" s="1"/>
  <c r="F35" i="1"/>
  <c r="E35" i="1"/>
  <c r="D35" i="1"/>
  <c r="C35" i="1"/>
  <c r="F29" i="1"/>
  <c r="E29" i="1"/>
  <c r="D29" i="1"/>
  <c r="C29" i="1"/>
  <c r="B29" i="1"/>
  <c r="E26" i="1"/>
  <c r="C26" i="1"/>
  <c r="F25" i="1"/>
  <c r="E25" i="1"/>
  <c r="F26" i="1" s="1"/>
  <c r="D25" i="1"/>
  <c r="C25" i="1"/>
  <c r="D26" i="1" s="1"/>
  <c r="B25" i="1"/>
  <c r="F20" i="1"/>
  <c r="E20" i="1"/>
  <c r="D20" i="1"/>
  <c r="C20" i="1"/>
  <c r="B20" i="1"/>
  <c r="C14" i="1"/>
  <c r="F12" i="1"/>
  <c r="E12" i="1"/>
  <c r="D12" i="1"/>
  <c r="C12" i="1"/>
  <c r="B12" i="1"/>
  <c r="F8" i="1"/>
  <c r="Q15" i="8" s="1"/>
  <c r="Q14" i="10" s="1"/>
  <c r="E8" i="1"/>
  <c r="P15" i="8" s="1"/>
  <c r="P14" i="10" s="1"/>
  <c r="D8" i="1"/>
  <c r="O15" i="8" s="1"/>
  <c r="O14" i="10" s="1"/>
  <c r="C8" i="1"/>
  <c r="N15" i="8" s="1"/>
  <c r="N14" i="10" s="1"/>
  <c r="B8" i="1"/>
  <c r="B14" i="1" s="1"/>
  <c r="M21" i="8" s="1"/>
  <c r="K8" i="6" l="1"/>
  <c r="K18" i="6" s="1"/>
  <c r="K8" i="5"/>
  <c r="M24" i="13"/>
  <c r="M25" i="13"/>
  <c r="N21" i="8"/>
  <c r="D14" i="1"/>
  <c r="P10" i="18"/>
  <c r="F20" i="9"/>
  <c r="F44" i="4"/>
  <c r="B92" i="22"/>
  <c r="L32" i="14"/>
  <c r="L33" i="12"/>
  <c r="B20" i="17"/>
  <c r="B79" i="19"/>
  <c r="B81" i="19" s="1"/>
  <c r="B84" i="19" s="1"/>
  <c r="B85" i="19" s="1"/>
  <c r="B11" i="11"/>
  <c r="B35" i="10"/>
  <c r="B36" i="10" s="1"/>
  <c r="B102" i="8"/>
  <c r="B79" i="8"/>
  <c r="B8" i="12"/>
  <c r="B42" i="9"/>
  <c r="B44" i="9" s="1"/>
  <c r="B47" i="7"/>
  <c r="B34" i="7"/>
  <c r="B48" i="3"/>
  <c r="B33" i="3"/>
  <c r="B36" i="3" s="1"/>
  <c r="C41" i="3"/>
  <c r="B39" i="3"/>
  <c r="C79" i="19"/>
  <c r="C81" i="19" s="1"/>
  <c r="C84" i="19" s="1"/>
  <c r="C85" i="19" s="1"/>
  <c r="C20" i="17"/>
  <c r="C11" i="11"/>
  <c r="C35" i="10"/>
  <c r="C36" i="10" s="1"/>
  <c r="C102" i="8"/>
  <c r="C8" i="12"/>
  <c r="C42" i="9"/>
  <c r="C79" i="8"/>
  <c r="C47" i="7"/>
  <c r="C50" i="7" s="1"/>
  <c r="C34" i="7"/>
  <c r="C33" i="3"/>
  <c r="C36" i="3" s="1"/>
  <c r="C54" i="4"/>
  <c r="D41" i="3"/>
  <c r="B54" i="4"/>
  <c r="B12" i="12"/>
  <c r="B51" i="4"/>
  <c r="O22" i="9"/>
  <c r="O18" i="4"/>
  <c r="O82" i="19" s="1"/>
  <c r="M18" i="4"/>
  <c r="M82" i="19" s="1"/>
  <c r="H20" i="9"/>
  <c r="H44" i="4"/>
  <c r="D79" i="19"/>
  <c r="D81" i="19" s="1"/>
  <c r="D84" i="19" s="1"/>
  <c r="D85" i="19" s="1"/>
  <c r="D20" i="17"/>
  <c r="D35" i="10"/>
  <c r="D36" i="10" s="1"/>
  <c r="D8" i="12"/>
  <c r="D11" i="11"/>
  <c r="D79" i="8"/>
  <c r="D102" i="8"/>
  <c r="D47" i="7"/>
  <c r="D50" i="7" s="1"/>
  <c r="D54" i="4"/>
  <c r="D42" i="9"/>
  <c r="D34" i="7"/>
  <c r="D33" i="3"/>
  <c r="D36" i="3" s="1"/>
  <c r="E41" i="3"/>
  <c r="D39" i="3"/>
  <c r="I38" i="7"/>
  <c r="I55" i="4"/>
  <c r="I13" i="10" s="1"/>
  <c r="C12" i="12"/>
  <c r="C28" i="12" s="1"/>
  <c r="C29" i="12" s="1"/>
  <c r="C51" i="4"/>
  <c r="P22" i="9"/>
  <c r="P18" i="4"/>
  <c r="P82" i="19" s="1"/>
  <c r="I20" i="9"/>
  <c r="J83" i="19"/>
  <c r="J44" i="4"/>
  <c r="J79" i="19"/>
  <c r="J81" i="19" s="1"/>
  <c r="J8" i="12"/>
  <c r="J42" i="9"/>
  <c r="J20" i="17"/>
  <c r="J102" i="8"/>
  <c r="J35" i="10"/>
  <c r="J36" i="10" s="1"/>
  <c r="J11" i="11"/>
  <c r="J79" i="8"/>
  <c r="J34" i="7"/>
  <c r="J47" i="7"/>
  <c r="J54" i="4"/>
  <c r="K41" i="3"/>
  <c r="J33" i="3"/>
  <c r="J36" i="3" s="1"/>
  <c r="D12" i="12"/>
  <c r="D51" i="4"/>
  <c r="D46" i="4"/>
  <c r="E21" i="9"/>
  <c r="E50" i="4"/>
  <c r="E11" i="12" s="1"/>
  <c r="E79" i="19"/>
  <c r="E81" i="19" s="1"/>
  <c r="E84" i="19" s="1"/>
  <c r="E85" i="19" s="1"/>
  <c r="E20" i="17"/>
  <c r="E8" i="12"/>
  <c r="E42" i="9"/>
  <c r="E102" i="8"/>
  <c r="E11" i="11"/>
  <c r="E35" i="10"/>
  <c r="E36" i="10" s="1"/>
  <c r="E47" i="7"/>
  <c r="E34" i="7"/>
  <c r="F41" i="3"/>
  <c r="E79" i="8"/>
  <c r="E54" i="4"/>
  <c r="E39" i="3"/>
  <c r="E33" i="3"/>
  <c r="E36" i="3" s="1"/>
  <c r="N22" i="10"/>
  <c r="I8" i="5"/>
  <c r="I8" i="6"/>
  <c r="I18" i="6" s="1"/>
  <c r="E12" i="12"/>
  <c r="E51" i="4"/>
  <c r="G12" i="12"/>
  <c r="G51" i="4"/>
  <c r="B24" i="2"/>
  <c r="B33" i="2" s="1"/>
  <c r="G8" i="12"/>
  <c r="G79" i="19"/>
  <c r="G81" i="19" s="1"/>
  <c r="G84" i="19" s="1"/>
  <c r="G85" i="19" s="1"/>
  <c r="G20" i="17"/>
  <c r="G79" i="8"/>
  <c r="G102" i="8"/>
  <c r="G35" i="10"/>
  <c r="G36" i="10" s="1"/>
  <c r="G11" i="11"/>
  <c r="G34" i="7"/>
  <c r="G42" i="9"/>
  <c r="G47" i="7"/>
  <c r="G54" i="4"/>
  <c r="H41" i="3"/>
  <c r="F12" i="12"/>
  <c r="F23" i="12" s="1"/>
  <c r="F24" i="12" s="1"/>
  <c r="F51" i="4"/>
  <c r="F46" i="4"/>
  <c r="L44" i="4"/>
  <c r="O22" i="10"/>
  <c r="B71" i="1"/>
  <c r="C61" i="1"/>
  <c r="M8" i="3"/>
  <c r="P22" i="10"/>
  <c r="B78" i="2"/>
  <c r="O15" i="3"/>
  <c r="N18" i="3"/>
  <c r="H79" i="19"/>
  <c r="H81" i="19" s="1"/>
  <c r="H84" i="19" s="1"/>
  <c r="H85" i="19" s="1"/>
  <c r="H8" i="12"/>
  <c r="H20" i="17"/>
  <c r="H79" i="8"/>
  <c r="H42" i="9"/>
  <c r="H35" i="10"/>
  <c r="H36" i="10" s="1"/>
  <c r="H11" i="11"/>
  <c r="H34" i="7"/>
  <c r="H102" i="8"/>
  <c r="H39" i="3"/>
  <c r="H47" i="7"/>
  <c r="H50" i="7" s="1"/>
  <c r="H54" i="4"/>
  <c r="H33" i="3"/>
  <c r="H36" i="3" s="1"/>
  <c r="K20" i="4"/>
  <c r="E32" i="14"/>
  <c r="E33" i="12"/>
  <c r="Q22" i="10"/>
  <c r="C39" i="3"/>
  <c r="I12" i="12"/>
  <c r="I23" i="12" s="1"/>
  <c r="I24" i="12" s="1"/>
  <c r="I51" i="4"/>
  <c r="M8" i="13"/>
  <c r="M16" i="13" s="1"/>
  <c r="B72" i="1"/>
  <c r="M44" i="5"/>
  <c r="M24" i="3"/>
  <c r="B20" i="9"/>
  <c r="B44" i="4"/>
  <c r="B46" i="4" s="1"/>
  <c r="J39" i="3"/>
  <c r="B129" i="2"/>
  <c r="B24" i="20"/>
  <c r="L9" i="19"/>
  <c r="L10" i="19" s="1"/>
  <c r="L13" i="19" s="1"/>
  <c r="L79" i="19"/>
  <c r="L81" i="19" s="1"/>
  <c r="B88" i="22"/>
  <c r="L20" i="17"/>
  <c r="L11" i="11"/>
  <c r="M33" i="11"/>
  <c r="M36" i="11"/>
  <c r="L35" i="10"/>
  <c r="L36" i="10" s="1"/>
  <c r="L8" i="12"/>
  <c r="L42" i="9"/>
  <c r="L102" i="8"/>
  <c r="L79" i="8"/>
  <c r="L34" i="7"/>
  <c r="L47" i="7"/>
  <c r="L50" i="7" s="1"/>
  <c r="L49" i="3"/>
  <c r="B47" i="3"/>
  <c r="L39" i="3"/>
  <c r="L33" i="3"/>
  <c r="L36" i="3" s="1"/>
  <c r="M20" i="3"/>
  <c r="B109" i="2"/>
  <c r="L54" i="4"/>
  <c r="J41" i="3"/>
  <c r="B18" i="22"/>
  <c r="B89" i="22"/>
  <c r="B59" i="20"/>
  <c r="L15" i="19"/>
  <c r="L21" i="9"/>
  <c r="L50" i="4"/>
  <c r="N10" i="18"/>
  <c r="I44" i="4"/>
  <c r="I46" i="4" s="1"/>
  <c r="B34" i="2"/>
  <c r="O10" i="18"/>
  <c r="G33" i="3"/>
  <c r="G36" i="3" s="1"/>
  <c r="L45" i="3"/>
  <c r="C46" i="4"/>
  <c r="J32" i="14"/>
  <c r="J33" i="12"/>
  <c r="C27" i="11"/>
  <c r="C29" i="11" s="1"/>
  <c r="C11" i="7"/>
  <c r="M7" i="17"/>
  <c r="M37" i="4"/>
  <c r="I20" i="17"/>
  <c r="I79" i="19"/>
  <c r="I81" i="19" s="1"/>
  <c r="I84" i="19" s="1"/>
  <c r="I85" i="19" s="1"/>
  <c r="I35" i="10"/>
  <c r="I36" i="10" s="1"/>
  <c r="I11" i="11"/>
  <c r="I8" i="12"/>
  <c r="I42" i="9"/>
  <c r="I79" i="8"/>
  <c r="I34" i="7"/>
  <c r="I102" i="8"/>
  <c r="I47" i="7"/>
  <c r="F33" i="3"/>
  <c r="F36" i="3" s="1"/>
  <c r="D50" i="4"/>
  <c r="D11" i="12" s="1"/>
  <c r="D28" i="12" s="1"/>
  <c r="D29" i="12" s="1"/>
  <c r="Q9" i="18"/>
  <c r="H15" i="7"/>
  <c r="H28" i="11"/>
  <c r="D27" i="11"/>
  <c r="D29" i="11" s="1"/>
  <c r="G27" i="11"/>
  <c r="G29" i="11" s="1"/>
  <c r="G11" i="7"/>
  <c r="I40" i="7"/>
  <c r="C37" i="1"/>
  <c r="K20" i="17"/>
  <c r="K79" i="19"/>
  <c r="K81" i="19" s="1"/>
  <c r="K84" i="19" s="1"/>
  <c r="K85" i="19" s="1"/>
  <c r="K102" i="8"/>
  <c r="K42" i="9"/>
  <c r="K11" i="11"/>
  <c r="K34" i="7"/>
  <c r="K8" i="12"/>
  <c r="K47" i="7"/>
  <c r="K54" i="4"/>
  <c r="K35" i="10"/>
  <c r="K36" i="10" s="1"/>
  <c r="K79" i="8"/>
  <c r="C20" i="9"/>
  <c r="C44" i="4"/>
  <c r="M28" i="4"/>
  <c r="J28" i="11"/>
  <c r="J15" i="7"/>
  <c r="J17" i="7" s="1"/>
  <c r="D23" i="12"/>
  <c r="D24" i="12" s="1"/>
  <c r="D20" i="9"/>
  <c r="D44" i="4"/>
  <c r="O17" i="18"/>
  <c r="O27" i="13"/>
  <c r="J50" i="7"/>
  <c r="J20" i="4"/>
  <c r="E23" i="12"/>
  <c r="E24" i="12" s="1"/>
  <c r="E20" i="9"/>
  <c r="E44" i="4"/>
  <c r="E46" i="4" s="1"/>
  <c r="H21" i="9"/>
  <c r="H50" i="4"/>
  <c r="H11" i="12" s="1"/>
  <c r="H23" i="12" s="1"/>
  <c r="H24" i="12" s="1"/>
  <c r="P17" i="18"/>
  <c r="P27" i="13"/>
  <c r="L28" i="11"/>
  <c r="L15" i="7"/>
  <c r="H10" i="7"/>
  <c r="B32" i="14"/>
  <c r="B33" i="12"/>
  <c r="I27" i="11"/>
  <c r="I29" i="11" s="1"/>
  <c r="I11" i="7"/>
  <c r="M68" i="8"/>
  <c r="N68" i="8" s="1"/>
  <c r="O68" i="8" s="1"/>
  <c r="P68" i="8" s="1"/>
  <c r="Q68" i="8" s="1"/>
  <c r="M47" i="8"/>
  <c r="N47" i="8" s="1"/>
  <c r="O47" i="8" s="1"/>
  <c r="P47" i="8" s="1"/>
  <c r="Q47" i="8" s="1"/>
  <c r="M67" i="8"/>
  <c r="N67" i="8" s="1"/>
  <c r="O67" i="8" s="1"/>
  <c r="P67" i="8" s="1"/>
  <c r="Q67" i="8" s="1"/>
  <c r="M64" i="8"/>
  <c r="M69" i="8"/>
  <c r="N69" i="8" s="1"/>
  <c r="O69" i="8" s="1"/>
  <c r="P69" i="8" s="1"/>
  <c r="Q69" i="8" s="1"/>
  <c r="M63" i="8"/>
  <c r="N63" i="8" s="1"/>
  <c r="O63" i="8" s="1"/>
  <c r="P63" i="8" s="1"/>
  <c r="Q63" i="8" s="1"/>
  <c r="M48" i="8"/>
  <c r="N48" i="8" s="1"/>
  <c r="O48" i="8" s="1"/>
  <c r="P48" i="8" s="1"/>
  <c r="Q48" i="8" s="1"/>
  <c r="M61" i="8"/>
  <c r="N61" i="8" s="1"/>
  <c r="O61" i="8" s="1"/>
  <c r="P61" i="8" s="1"/>
  <c r="Q61" i="8" s="1"/>
  <c r="M66" i="8"/>
  <c r="N66" i="8" s="1"/>
  <c r="O66" i="8" s="1"/>
  <c r="P66" i="8" s="1"/>
  <c r="Q66" i="8" s="1"/>
  <c r="M65" i="8"/>
  <c r="N65" i="8" s="1"/>
  <c r="O65" i="8" s="1"/>
  <c r="P65" i="8" s="1"/>
  <c r="Q65" i="8" s="1"/>
  <c r="M51" i="8"/>
  <c r="N51" i="8" s="1"/>
  <c r="O51" i="8" s="1"/>
  <c r="P51" i="8" s="1"/>
  <c r="Q51" i="8" s="1"/>
  <c r="M46" i="8"/>
  <c r="N46" i="8" s="1"/>
  <c r="O46" i="8" s="1"/>
  <c r="P46" i="8" s="1"/>
  <c r="Q46" i="8" s="1"/>
  <c r="M15" i="8"/>
  <c r="M14" i="10" s="1"/>
  <c r="M50" i="8"/>
  <c r="N50" i="8" s="1"/>
  <c r="O50" i="8" s="1"/>
  <c r="P50" i="8" s="1"/>
  <c r="Q50" i="8" s="1"/>
  <c r="M45" i="8"/>
  <c r="N45" i="8" s="1"/>
  <c r="O45" i="8" s="1"/>
  <c r="P45" i="8" s="1"/>
  <c r="Q45" i="8" s="1"/>
  <c r="M49" i="8"/>
  <c r="N49" i="8" s="1"/>
  <c r="O49" i="8" s="1"/>
  <c r="P49" i="8" s="1"/>
  <c r="Q49" i="8" s="1"/>
  <c r="M62" i="8"/>
  <c r="N62" i="8" s="1"/>
  <c r="O62" i="8" s="1"/>
  <c r="P62" i="8" s="1"/>
  <c r="Q62" i="8" s="1"/>
  <c r="M10" i="18"/>
  <c r="I39" i="3"/>
  <c r="L82" i="19"/>
  <c r="L14" i="19"/>
  <c r="L20" i="4"/>
  <c r="G23" i="12"/>
  <c r="G20" i="9"/>
  <c r="G44" i="4"/>
  <c r="G46" i="4" s="1"/>
  <c r="H46" i="4"/>
  <c r="N18" i="18"/>
  <c r="J27" i="11"/>
  <c r="J29" i="11" s="1"/>
  <c r="J11" i="7"/>
  <c r="J18" i="7"/>
  <c r="K21" i="9"/>
  <c r="K50" i="4"/>
  <c r="K11" i="12" s="1"/>
  <c r="B28" i="11"/>
  <c r="B50" i="7"/>
  <c r="E50" i="7"/>
  <c r="F33" i="12"/>
  <c r="F32" i="14"/>
  <c r="F27" i="11"/>
  <c r="F29" i="11" s="1"/>
  <c r="F18" i="7"/>
  <c r="F17" i="7"/>
  <c r="F11" i="7"/>
  <c r="L41" i="3"/>
  <c r="K20" i="9"/>
  <c r="K44" i="4"/>
  <c r="K50" i="7"/>
  <c r="F79" i="19"/>
  <c r="F81" i="19" s="1"/>
  <c r="F84" i="19" s="1"/>
  <c r="F85" i="19" s="1"/>
  <c r="F11" i="11"/>
  <c r="F8" i="12"/>
  <c r="F20" i="17"/>
  <c r="F35" i="10"/>
  <c r="F36" i="10" s="1"/>
  <c r="F34" i="7"/>
  <c r="F42" i="9"/>
  <c r="F102" i="8"/>
  <c r="F79" i="8"/>
  <c r="F47" i="7"/>
  <c r="L20" i="9"/>
  <c r="H32" i="14"/>
  <c r="H33" i="12"/>
  <c r="F54" i="4"/>
  <c r="H39" i="5"/>
  <c r="H41" i="5" s="1"/>
  <c r="L29" i="11"/>
  <c r="B50" i="4"/>
  <c r="B11" i="12" s="1"/>
  <c r="B28" i="12" s="1"/>
  <c r="B29" i="12" s="1"/>
  <c r="H51" i="4"/>
  <c r="I33" i="12"/>
  <c r="I32" i="14"/>
  <c r="B27" i="11"/>
  <c r="B18" i="7"/>
  <c r="B17" i="7"/>
  <c r="B11" i="7"/>
  <c r="D11" i="7"/>
  <c r="C38" i="9"/>
  <c r="C56" i="9"/>
  <c r="B105" i="8"/>
  <c r="B101" i="8"/>
  <c r="B104" i="8" s="1"/>
  <c r="B110" i="8" s="1"/>
  <c r="E22" i="10"/>
  <c r="E29" i="11"/>
  <c r="G50" i="4"/>
  <c r="G11" i="12" s="1"/>
  <c r="C32" i="14"/>
  <c r="C33" i="12"/>
  <c r="M17" i="18"/>
  <c r="M27" i="13"/>
  <c r="E11" i="7"/>
  <c r="C15" i="7"/>
  <c r="C18" i="7" s="1"/>
  <c r="C52" i="7" s="1"/>
  <c r="D52" i="7" s="1"/>
  <c r="E52" i="7" s="1"/>
  <c r="F52" i="7" s="1"/>
  <c r="G52" i="7" s="1"/>
  <c r="F49" i="7"/>
  <c r="F50" i="7" s="1"/>
  <c r="J20" i="9"/>
  <c r="D32" i="14"/>
  <c r="D33" i="12"/>
  <c r="N17" i="18"/>
  <c r="N27" i="13"/>
  <c r="D15" i="7"/>
  <c r="D18" i="7" s="1"/>
  <c r="G49" i="7"/>
  <c r="G50" i="7" s="1"/>
  <c r="D94" i="8"/>
  <c r="E15" i="7"/>
  <c r="E17" i="7" s="1"/>
  <c r="Q16" i="7"/>
  <c r="F15" i="7"/>
  <c r="I49" i="7"/>
  <c r="I50" i="7" s="1"/>
  <c r="K22" i="10"/>
  <c r="G33" i="12"/>
  <c r="G32" i="14"/>
  <c r="Q17" i="18"/>
  <c r="Q27" i="13"/>
  <c r="K27" i="11"/>
  <c r="K29" i="11" s="1"/>
  <c r="G15" i="7"/>
  <c r="G18" i="7" s="1"/>
  <c r="I15" i="7"/>
  <c r="I17" i="7" s="1"/>
  <c r="L11" i="7"/>
  <c r="E18" i="7"/>
  <c r="K33" i="12"/>
  <c r="K32" i="14"/>
  <c r="K15" i="7"/>
  <c r="K17" i="7" s="1"/>
  <c r="E29" i="9"/>
  <c r="F17" i="9"/>
  <c r="D64" i="9"/>
  <c r="G28" i="12"/>
  <c r="G29" i="12" s="1"/>
  <c r="E28" i="14"/>
  <c r="D36" i="9"/>
  <c r="E38" i="9" s="1"/>
  <c r="H28" i="12"/>
  <c r="I20" i="12"/>
  <c r="K20" i="12"/>
  <c r="H22" i="10"/>
  <c r="F28" i="12"/>
  <c r="J24" i="18"/>
  <c r="J27" i="18"/>
  <c r="J26" i="18"/>
  <c r="S16" i="18"/>
  <c r="D22" i="18"/>
  <c r="D24" i="18" s="1"/>
  <c r="D27" i="18"/>
  <c r="D26" i="18"/>
  <c r="C30" i="14"/>
  <c r="D29" i="14"/>
  <c r="E29" i="14" s="1"/>
  <c r="F29" i="14" s="1"/>
  <c r="G29" i="14" s="1"/>
  <c r="H29" i="14" s="1"/>
  <c r="I29" i="14" s="1"/>
  <c r="J29" i="14" s="1"/>
  <c r="K29" i="14" s="1"/>
  <c r="L29" i="14" s="1"/>
  <c r="L27" i="18"/>
  <c r="L24" i="18"/>
  <c r="L26" i="18"/>
  <c r="L22" i="18"/>
  <c r="B27" i="18"/>
  <c r="B26" i="18"/>
  <c r="B20" i="12"/>
  <c r="G22" i="18"/>
  <c r="D20" i="12"/>
  <c r="E28" i="12"/>
  <c r="E29" i="12" s="1"/>
  <c r="E13" i="18"/>
  <c r="F13" i="18"/>
  <c r="H26" i="18"/>
  <c r="G13" i="18"/>
  <c r="S17" i="18"/>
  <c r="B22" i="18"/>
  <c r="S18" i="18"/>
  <c r="S21" i="18"/>
  <c r="L80" i="21"/>
  <c r="I80" i="21"/>
  <c r="M80" i="21"/>
  <c r="K80" i="21"/>
  <c r="J80" i="21"/>
  <c r="J81" i="21" s="1"/>
  <c r="J83" i="21" s="1"/>
  <c r="N28" i="17"/>
  <c r="K26" i="18"/>
  <c r="K24" i="18"/>
  <c r="K27" i="18"/>
  <c r="J84" i="21"/>
  <c r="K95" i="21"/>
  <c r="J97" i="21"/>
  <c r="S10" i="18"/>
  <c r="H22" i="18"/>
  <c r="H24" i="18" s="1"/>
  <c r="B17" i="20"/>
  <c r="B71" i="20"/>
  <c r="S8" i="18"/>
  <c r="I79" i="21"/>
  <c r="P28" i="17"/>
  <c r="K77" i="21"/>
  <c r="H40" i="21"/>
  <c r="J59" i="21"/>
  <c r="I61" i="21"/>
  <c r="H97" i="21"/>
  <c r="H99" i="21" s="1"/>
  <c r="H101" i="21" s="1"/>
  <c r="S20" i="18"/>
  <c r="J22" i="18"/>
  <c r="C13" i="18"/>
  <c r="C28" i="22"/>
  <c r="L37" i="21"/>
  <c r="I60" i="21"/>
  <c r="J60" i="21" s="1"/>
  <c r="K60" i="21" s="1"/>
  <c r="L60" i="21" s="1"/>
  <c r="M60" i="21" s="1"/>
  <c r="I64" i="21"/>
  <c r="M98" i="21"/>
  <c r="L98" i="21"/>
  <c r="K98" i="21"/>
  <c r="I98" i="21"/>
  <c r="I99" i="21" s="1"/>
  <c r="I101" i="21" s="1"/>
  <c r="L25" i="21"/>
  <c r="K25" i="21"/>
  <c r="H44" i="21" s="1"/>
  <c r="I25" i="21"/>
  <c r="H66" i="21" s="1"/>
  <c r="J98" i="21"/>
  <c r="I102" i="21"/>
  <c r="H38" i="21"/>
  <c r="I38" i="21" s="1"/>
  <c r="J38" i="21" s="1"/>
  <c r="K38" i="21" s="1"/>
  <c r="L38" i="21" s="1"/>
  <c r="M38" i="21" s="1"/>
  <c r="L28" i="21"/>
  <c r="J28" i="21"/>
  <c r="H42" i="21"/>
  <c r="H24" i="21"/>
  <c r="K28" i="21"/>
  <c r="H39" i="21"/>
  <c r="H41" i="21" s="1"/>
  <c r="H43" i="21" s="1"/>
  <c r="J42" i="21"/>
  <c r="I24" i="21"/>
  <c r="H79" i="21"/>
  <c r="H81" i="21" s="1"/>
  <c r="H83" i="21" s="1"/>
  <c r="H85" i="21" s="1"/>
  <c r="E49" i="9" l="1"/>
  <c r="E44" i="9"/>
  <c r="D41" i="12"/>
  <c r="D40" i="12"/>
  <c r="D38" i="12"/>
  <c r="D44" i="12" s="1"/>
  <c r="D37" i="12"/>
  <c r="D43" i="12" s="1"/>
  <c r="D39" i="12"/>
  <c r="D36" i="12"/>
  <c r="J15" i="10"/>
  <c r="K16" i="10" s="1"/>
  <c r="K26" i="10" s="1"/>
  <c r="J27" i="7"/>
  <c r="J28" i="7" s="1"/>
  <c r="H88" i="19"/>
  <c r="G87" i="19"/>
  <c r="E37" i="12"/>
  <c r="E43" i="12" s="1"/>
  <c r="E40" i="12"/>
  <c r="E39" i="12"/>
  <c r="E36" i="12"/>
  <c r="E38" i="12"/>
  <c r="E44" i="12" s="1"/>
  <c r="E41" i="12"/>
  <c r="E20" i="12"/>
  <c r="C38" i="7"/>
  <c r="C40" i="7" s="1"/>
  <c r="C55" i="4"/>
  <c r="C13" i="10" s="1"/>
  <c r="B40" i="20"/>
  <c r="B43" i="20" s="1"/>
  <c r="B79" i="20"/>
  <c r="F35" i="9"/>
  <c r="F36" i="9" s="1"/>
  <c r="F29" i="9"/>
  <c r="G17" i="9"/>
  <c r="F44" i="9"/>
  <c r="F49" i="9"/>
  <c r="K49" i="9"/>
  <c r="K44" i="9"/>
  <c r="I87" i="19"/>
  <c r="L49" i="12"/>
  <c r="L48" i="12"/>
  <c r="B39" i="9"/>
  <c r="B23" i="9"/>
  <c r="I88" i="19"/>
  <c r="H87" i="19"/>
  <c r="G36" i="12"/>
  <c r="G39" i="12"/>
  <c r="G38" i="12"/>
  <c r="G44" i="12" s="1"/>
  <c r="G40" i="12"/>
  <c r="G37" i="12"/>
  <c r="G43" i="12" s="1"/>
  <c r="G41" i="12"/>
  <c r="G20" i="12"/>
  <c r="C8" i="5"/>
  <c r="C8" i="6"/>
  <c r="C18" i="6" s="1"/>
  <c r="B8" i="6"/>
  <c r="B18" i="6" s="1"/>
  <c r="B8" i="5"/>
  <c r="D39" i="9"/>
  <c r="D23" i="9"/>
  <c r="I103" i="21"/>
  <c r="J104" i="21" s="1"/>
  <c r="J102" i="21"/>
  <c r="J39" i="9"/>
  <c r="J23" i="9"/>
  <c r="I18" i="7"/>
  <c r="G8" i="5"/>
  <c r="G8" i="6"/>
  <c r="G18" i="6" s="1"/>
  <c r="L38" i="7"/>
  <c r="L40" i="7" s="1"/>
  <c r="B93" i="22" s="1"/>
  <c r="L55" i="4"/>
  <c r="B23" i="12"/>
  <c r="B24" i="12" s="1"/>
  <c r="K12" i="12"/>
  <c r="K23" i="12" s="1"/>
  <c r="K24" i="12" s="1"/>
  <c r="K25" i="12" s="1"/>
  <c r="K46" i="4"/>
  <c r="K51" i="4"/>
  <c r="E87" i="19"/>
  <c r="F88" i="19"/>
  <c r="D87" i="19"/>
  <c r="E88" i="19"/>
  <c r="B50" i="3"/>
  <c r="C26" i="18"/>
  <c r="C24" i="18"/>
  <c r="C27" i="18"/>
  <c r="I81" i="21"/>
  <c r="I83" i="21" s="1"/>
  <c r="I85" i="21" s="1"/>
  <c r="J99" i="21"/>
  <c r="J101" i="21" s="1"/>
  <c r="E56" i="9"/>
  <c r="M22" i="10"/>
  <c r="I15" i="10"/>
  <c r="J16" i="10" s="1"/>
  <c r="J26" i="10" s="1"/>
  <c r="I27" i="7"/>
  <c r="I28" i="7" s="1"/>
  <c r="K87" i="19"/>
  <c r="M38" i="11"/>
  <c r="S38" i="11" s="1"/>
  <c r="S36" i="11"/>
  <c r="H8" i="6"/>
  <c r="H18" i="6" s="1"/>
  <c r="H8" i="5"/>
  <c r="O18" i="3"/>
  <c r="P15" i="3"/>
  <c r="E8" i="5"/>
  <c r="E8" i="6"/>
  <c r="E18" i="6" s="1"/>
  <c r="F39" i="9"/>
  <c r="F23" i="9"/>
  <c r="K39" i="21"/>
  <c r="I66" i="21"/>
  <c r="J39" i="21"/>
  <c r="K100" i="21"/>
  <c r="K97" i="21"/>
  <c r="K99" i="21" s="1"/>
  <c r="L95" i="21"/>
  <c r="F64" i="9"/>
  <c r="E39" i="9"/>
  <c r="E23" i="9"/>
  <c r="M34" i="4"/>
  <c r="M21" i="17"/>
  <c r="M16" i="17"/>
  <c r="M79" i="19"/>
  <c r="M81" i="19" s="1"/>
  <c r="M8" i="12"/>
  <c r="M35" i="10"/>
  <c r="M36" i="10" s="1"/>
  <c r="M42" i="9"/>
  <c r="M8" i="8"/>
  <c r="M11" i="11"/>
  <c r="N41" i="3"/>
  <c r="C109" i="2"/>
  <c r="B87" i="1"/>
  <c r="M28" i="3" s="1"/>
  <c r="C22" i="2"/>
  <c r="N20" i="3"/>
  <c r="M8" i="4"/>
  <c r="M19" i="17"/>
  <c r="M20" i="17" s="1"/>
  <c r="M8" i="11"/>
  <c r="M31" i="10"/>
  <c r="M32" i="10" s="1"/>
  <c r="M9" i="11"/>
  <c r="M39" i="7"/>
  <c r="H38" i="7"/>
  <c r="H40" i="7" s="1"/>
  <c r="H55" i="4"/>
  <c r="H13" i="10" s="1"/>
  <c r="J49" i="9"/>
  <c r="J44" i="9"/>
  <c r="H23" i="9"/>
  <c r="H39" i="9"/>
  <c r="D28" i="22"/>
  <c r="C53" i="1"/>
  <c r="C46" i="1"/>
  <c r="C47" i="1" s="1"/>
  <c r="B112" i="2"/>
  <c r="B35" i="2"/>
  <c r="L8" i="6"/>
  <c r="L18" i="6" s="1"/>
  <c r="L8" i="5"/>
  <c r="M10" i="16"/>
  <c r="M17" i="13"/>
  <c r="B98" i="1"/>
  <c r="M35" i="5"/>
  <c r="M34" i="7" s="1"/>
  <c r="G38" i="7"/>
  <c r="G40" i="7" s="1"/>
  <c r="G55" i="4"/>
  <c r="G13" i="10" s="1"/>
  <c r="E38" i="7"/>
  <c r="E40" i="7" s="1"/>
  <c r="E55" i="4"/>
  <c r="E13" i="10" s="1"/>
  <c r="J40" i="12"/>
  <c r="J37" i="12"/>
  <c r="J43" i="12" s="1"/>
  <c r="J38" i="12"/>
  <c r="J44" i="12" s="1"/>
  <c r="J41" i="12"/>
  <c r="J49" i="12"/>
  <c r="J48" i="12"/>
  <c r="J39" i="12"/>
  <c r="J20" i="12"/>
  <c r="D8" i="6"/>
  <c r="D18" i="6" s="1"/>
  <c r="D8" i="5"/>
  <c r="C49" i="9"/>
  <c r="C44" i="9"/>
  <c r="H40" i="12"/>
  <c r="H37" i="12"/>
  <c r="H43" i="12" s="1"/>
  <c r="H41" i="12"/>
  <c r="H36" i="12"/>
  <c r="H38" i="12"/>
  <c r="H44" i="12" s="1"/>
  <c r="H39" i="12"/>
  <c r="H20" i="12"/>
  <c r="J85" i="21"/>
  <c r="K84" i="21"/>
  <c r="B32" i="12"/>
  <c r="B25" i="12"/>
  <c r="F39" i="12"/>
  <c r="F38" i="12"/>
  <c r="F44" i="12" s="1"/>
  <c r="F41" i="12"/>
  <c r="F36" i="12"/>
  <c r="F40" i="12"/>
  <c r="F37" i="12"/>
  <c r="F43" i="12" s="1"/>
  <c r="F20" i="12"/>
  <c r="I39" i="21"/>
  <c r="G39" i="9"/>
  <c r="G23" i="9"/>
  <c r="J12" i="12"/>
  <c r="J46" i="4"/>
  <c r="J51" i="4"/>
  <c r="C23" i="9"/>
  <c r="C39" i="9"/>
  <c r="C15" i="10"/>
  <c r="C27" i="7"/>
  <c r="C28" i="7" s="1"/>
  <c r="J84" i="19"/>
  <c r="J85" i="19" s="1"/>
  <c r="C38" i="12"/>
  <c r="C44" i="12" s="1"/>
  <c r="C39" i="12"/>
  <c r="C40" i="12"/>
  <c r="C37" i="12"/>
  <c r="C43" i="12" s="1"/>
  <c r="C20" i="12"/>
  <c r="C36" i="12"/>
  <c r="C41" i="12"/>
  <c r="B40" i="12"/>
  <c r="B38" i="12"/>
  <c r="B44" i="12" s="1"/>
  <c r="B41" i="12"/>
  <c r="B37" i="12"/>
  <c r="B43" i="12" s="1"/>
  <c r="B39" i="12"/>
  <c r="B36" i="12"/>
  <c r="L44" i="9"/>
  <c r="L49" i="9"/>
  <c r="I26" i="21"/>
  <c r="I28" i="21" s="1"/>
  <c r="H62" i="21"/>
  <c r="S22" i="18"/>
  <c r="S13" i="18"/>
  <c r="I25" i="12"/>
  <c r="E15" i="10"/>
  <c r="E27" i="7"/>
  <c r="E28" i="7" s="1"/>
  <c r="F38" i="7"/>
  <c r="F40" i="7" s="1"/>
  <c r="F55" i="4"/>
  <c r="F13" i="10" s="1"/>
  <c r="F87" i="19"/>
  <c r="G88" i="19"/>
  <c r="G24" i="12"/>
  <c r="C23" i="12"/>
  <c r="C24" i="12" s="1"/>
  <c r="G15" i="10"/>
  <c r="G27" i="7"/>
  <c r="G28" i="7" s="1"/>
  <c r="C17" i="7"/>
  <c r="G49" i="9"/>
  <c r="G44" i="9"/>
  <c r="D44" i="9"/>
  <c r="D49" i="9"/>
  <c r="O21" i="8"/>
  <c r="E14" i="1"/>
  <c r="H45" i="21"/>
  <c r="I44" i="21"/>
  <c r="F8" i="6"/>
  <c r="F18" i="6" s="1"/>
  <c r="F8" i="5"/>
  <c r="B24" i="18"/>
  <c r="I28" i="12"/>
  <c r="I29" i="12" s="1"/>
  <c r="I32" i="12" s="1"/>
  <c r="D27" i="7"/>
  <c r="D28" i="7" s="1"/>
  <c r="D15" i="10"/>
  <c r="E16" i="10" s="1"/>
  <c r="E26" i="10" s="1"/>
  <c r="B19" i="20"/>
  <c r="L12" i="12"/>
  <c r="L46" i="4"/>
  <c r="L51" i="4"/>
  <c r="G17" i="7"/>
  <c r="M41" i="3"/>
  <c r="L84" i="19"/>
  <c r="L85" i="19" s="1"/>
  <c r="L88" i="19" s="1"/>
  <c r="N40" i="3"/>
  <c r="M40" i="3"/>
  <c r="M39" i="3"/>
  <c r="M26" i="3"/>
  <c r="M43" i="9" s="1"/>
  <c r="M42" i="3"/>
  <c r="J8" i="6"/>
  <c r="J18" i="6" s="1"/>
  <c r="J8" i="5"/>
  <c r="D38" i="7"/>
  <c r="D40" i="7" s="1"/>
  <c r="D55" i="4"/>
  <c r="D13" i="10" s="1"/>
  <c r="L42" i="21"/>
  <c r="M37" i="21"/>
  <c r="L39" i="21"/>
  <c r="L41" i="21" s="1"/>
  <c r="L43" i="21" s="1"/>
  <c r="E26" i="20"/>
  <c r="D26" i="20"/>
  <c r="C26" i="20"/>
  <c r="B90" i="22"/>
  <c r="B35" i="20"/>
  <c r="B18" i="20"/>
  <c r="B20" i="20" s="1"/>
  <c r="B60" i="20"/>
  <c r="F26" i="20"/>
  <c r="L11" i="12"/>
  <c r="L37" i="12" s="1"/>
  <c r="L43" i="12" s="1"/>
  <c r="G26" i="20"/>
  <c r="L18" i="19"/>
  <c r="C63" i="1"/>
  <c r="C69" i="1" s="1"/>
  <c r="C52" i="1"/>
  <c r="C51" i="1"/>
  <c r="N29" i="8" s="1"/>
  <c r="N8" i="3"/>
  <c r="C71" i="1"/>
  <c r="C74" i="1"/>
  <c r="N24" i="6" s="1"/>
  <c r="C70" i="1"/>
  <c r="D61" i="1"/>
  <c r="I23" i="9"/>
  <c r="I39" i="9"/>
  <c r="J29" i="21"/>
  <c r="J30" i="21"/>
  <c r="K79" i="21"/>
  <c r="K81" i="21" s="1"/>
  <c r="K82" i="21"/>
  <c r="L77" i="21"/>
  <c r="D25" i="12"/>
  <c r="D32" i="12"/>
  <c r="H29" i="12"/>
  <c r="D107" i="8"/>
  <c r="D108" i="8" s="1"/>
  <c r="D96" i="8"/>
  <c r="E94" i="8"/>
  <c r="B15" i="10"/>
  <c r="C16" i="10" s="1"/>
  <c r="C26" i="10" s="1"/>
  <c r="B27" i="7"/>
  <c r="B28" i="7" s="1"/>
  <c r="H27" i="11"/>
  <c r="H29" i="11" s="1"/>
  <c r="H18" i="7"/>
  <c r="H52" i="7" s="1"/>
  <c r="I52" i="7" s="1"/>
  <c r="J52" i="7" s="1"/>
  <c r="K52" i="7" s="1"/>
  <c r="L52" i="7" s="1"/>
  <c r="H17" i="7"/>
  <c r="H11" i="7"/>
  <c r="K29" i="21"/>
  <c r="K30" i="21"/>
  <c r="F29" i="12"/>
  <c r="D38" i="9"/>
  <c r="D56" i="9"/>
  <c r="B15" i="22"/>
  <c r="B84" i="22"/>
  <c r="L15" i="10"/>
  <c r="L27" i="7"/>
  <c r="L28" i="7" s="1"/>
  <c r="B44" i="2"/>
  <c r="K18" i="7"/>
  <c r="L18" i="7"/>
  <c r="L17" i="7"/>
  <c r="B16" i="22" s="1"/>
  <c r="K38" i="7"/>
  <c r="K40" i="7" s="1"/>
  <c r="K55" i="4"/>
  <c r="K13" i="10" s="1"/>
  <c r="C74" i="20"/>
  <c r="C24" i="20"/>
  <c r="B63" i="20"/>
  <c r="B27" i="20"/>
  <c r="J38" i="7"/>
  <c r="J40" i="7" s="1"/>
  <c r="J55" i="4"/>
  <c r="J13" i="10" s="1"/>
  <c r="H26" i="21"/>
  <c r="H28" i="21" s="1"/>
  <c r="H25" i="21"/>
  <c r="J61" i="21"/>
  <c r="J64" i="21"/>
  <c r="K59" i="21"/>
  <c r="F26" i="18"/>
  <c r="F27" i="18"/>
  <c r="F24" i="18"/>
  <c r="F28" i="14"/>
  <c r="E30" i="14"/>
  <c r="L39" i="9"/>
  <c r="L23" i="9"/>
  <c r="K52" i="9"/>
  <c r="K23" i="9"/>
  <c r="K39" i="9"/>
  <c r="H49" i="9"/>
  <c r="H44" i="9"/>
  <c r="I44" i="7"/>
  <c r="I45" i="7" s="1"/>
  <c r="J20" i="6"/>
  <c r="I19" i="6"/>
  <c r="I23" i="7" s="1"/>
  <c r="I24" i="7" s="1"/>
  <c r="I45" i="9"/>
  <c r="I52" i="9" s="1"/>
  <c r="I42" i="7"/>
  <c r="I43" i="7" s="1"/>
  <c r="I23" i="6"/>
  <c r="I28" i="6" s="1"/>
  <c r="D88" i="19"/>
  <c r="C87" i="19"/>
  <c r="C88" i="19"/>
  <c r="B87" i="19"/>
  <c r="F15" i="10"/>
  <c r="G16" i="10" s="1"/>
  <c r="G26" i="10" s="1"/>
  <c r="F27" i="7"/>
  <c r="F28" i="7" s="1"/>
  <c r="L29" i="21"/>
  <c r="L30" i="21"/>
  <c r="G26" i="18"/>
  <c r="G24" i="18"/>
  <c r="G27" i="18"/>
  <c r="D17" i="7"/>
  <c r="I49" i="9"/>
  <c r="I44" i="9"/>
  <c r="L40" i="21"/>
  <c r="K40" i="21"/>
  <c r="J40" i="21"/>
  <c r="I40" i="21"/>
  <c r="M40" i="21"/>
  <c r="E27" i="18"/>
  <c r="E26" i="18"/>
  <c r="E24" i="18"/>
  <c r="L20" i="12"/>
  <c r="D30" i="14"/>
  <c r="B29" i="11"/>
  <c r="N64" i="8"/>
  <c r="M70" i="8"/>
  <c r="K49" i="12"/>
  <c r="K41" i="12"/>
  <c r="K36" i="12"/>
  <c r="K39" i="12"/>
  <c r="K40" i="12"/>
  <c r="K38" i="12"/>
  <c r="K44" i="12" s="1"/>
  <c r="K48" i="12"/>
  <c r="K37" i="12"/>
  <c r="K43" i="12" s="1"/>
  <c r="I39" i="12"/>
  <c r="I38" i="12"/>
  <c r="I44" i="12" s="1"/>
  <c r="I41" i="12"/>
  <c r="I36" i="12"/>
  <c r="I37" i="12"/>
  <c r="I43" i="12" s="1"/>
  <c r="I40" i="12"/>
  <c r="B55" i="4"/>
  <c r="B13" i="10" s="1"/>
  <c r="B38" i="7"/>
  <c r="B40" i="7" s="1"/>
  <c r="K45" i="9"/>
  <c r="L20" i="6"/>
  <c r="K19" i="6"/>
  <c r="K23" i="7" s="1"/>
  <c r="K24" i="7" s="1"/>
  <c r="K44" i="7"/>
  <c r="K45" i="7" s="1"/>
  <c r="K23" i="6"/>
  <c r="K28" i="6" s="1"/>
  <c r="K42" i="7"/>
  <c r="K43" i="7" s="1"/>
  <c r="B21" i="20" l="1"/>
  <c r="B61" i="20"/>
  <c r="B62" i="20" s="1"/>
  <c r="N44" i="5"/>
  <c r="N24" i="3"/>
  <c r="L45" i="9"/>
  <c r="L52" i="9" s="1"/>
  <c r="L23" i="6"/>
  <c r="L28" i="6" s="1"/>
  <c r="L44" i="7"/>
  <c r="L45" i="7" s="1"/>
  <c r="L42" i="7"/>
  <c r="L43" i="7" s="1"/>
  <c r="L19" i="6"/>
  <c r="C24" i="2"/>
  <c r="C37" i="2"/>
  <c r="J50" i="9"/>
  <c r="J27" i="9"/>
  <c r="J24" i="9"/>
  <c r="L36" i="12"/>
  <c r="B51" i="2"/>
  <c r="B49" i="2"/>
  <c r="I29" i="21"/>
  <c r="I30" i="21"/>
  <c r="K50" i="9"/>
  <c r="K27" i="9"/>
  <c r="K24" i="9"/>
  <c r="K51" i="9" s="1"/>
  <c r="H29" i="21"/>
  <c r="H30" i="21"/>
  <c r="L16" i="10"/>
  <c r="L26" i="10" s="1"/>
  <c r="I50" i="9"/>
  <c r="I27" i="9"/>
  <c r="I24" i="9"/>
  <c r="I51" i="9" s="1"/>
  <c r="S24" i="18"/>
  <c r="I41" i="21"/>
  <c r="I43" i="21" s="1"/>
  <c r="I45" i="21" s="1"/>
  <c r="M16" i="9"/>
  <c r="M9" i="6"/>
  <c r="M9" i="5"/>
  <c r="K41" i="21"/>
  <c r="K43" i="21" s="1"/>
  <c r="L39" i="12"/>
  <c r="F24" i="9"/>
  <c r="F27" i="9"/>
  <c r="F30" i="9" s="1"/>
  <c r="F50" i="9"/>
  <c r="L41" i="12"/>
  <c r="K88" i="19"/>
  <c r="J87" i="19"/>
  <c r="F32" i="12"/>
  <c r="F25" i="12"/>
  <c r="J103" i="21"/>
  <c r="K104" i="21" s="1"/>
  <c r="K102" i="21"/>
  <c r="F45" i="9"/>
  <c r="F52" i="9" s="1"/>
  <c r="F44" i="7"/>
  <c r="F45" i="7" s="1"/>
  <c r="F42" i="7"/>
  <c r="F43" i="7" s="1"/>
  <c r="F23" i="6"/>
  <c r="F28" i="6" s="1"/>
  <c r="F19" i="6"/>
  <c r="F23" i="7" s="1"/>
  <c r="F24" i="7" s="1"/>
  <c r="G20" i="6"/>
  <c r="B29" i="20"/>
  <c r="C75" i="20"/>
  <c r="B72" i="20"/>
  <c r="N22" i="13"/>
  <c r="N24" i="13" s="1"/>
  <c r="J44" i="21"/>
  <c r="L87" i="19"/>
  <c r="L91" i="19"/>
  <c r="L90" i="19"/>
  <c r="D16" i="10"/>
  <c r="D26" i="10" s="1"/>
  <c r="E45" i="9"/>
  <c r="E52" i="9" s="1"/>
  <c r="E19" i="6"/>
  <c r="E23" i="7" s="1"/>
  <c r="E24" i="7" s="1"/>
  <c r="E44" i="7"/>
  <c r="E45" i="7" s="1"/>
  <c r="E42" i="7"/>
  <c r="E43" i="7" s="1"/>
  <c r="F20" i="6"/>
  <c r="E23" i="6"/>
  <c r="E28" i="6" s="1"/>
  <c r="J88" i="19"/>
  <c r="K46" i="9"/>
  <c r="K53" i="9" s="1"/>
  <c r="K22" i="11"/>
  <c r="K35" i="6"/>
  <c r="L30" i="6"/>
  <c r="K29" i="6"/>
  <c r="K36" i="6"/>
  <c r="E96" i="8"/>
  <c r="F94" i="8"/>
  <c r="E107" i="8"/>
  <c r="E108" i="8" s="1"/>
  <c r="D74" i="1"/>
  <c r="O24" i="6" s="1"/>
  <c r="E61" i="1"/>
  <c r="D71" i="1"/>
  <c r="D63" i="1"/>
  <c r="D69" i="1" s="1"/>
  <c r="D52" i="1"/>
  <c r="D51" i="1"/>
  <c r="O29" i="8" s="1"/>
  <c r="O8" i="3"/>
  <c r="D70" i="1"/>
  <c r="M49" i="7"/>
  <c r="L27" i="9"/>
  <c r="L24" i="9"/>
  <c r="L51" i="9" s="1"/>
  <c r="L50" i="9"/>
  <c r="D105" i="8"/>
  <c r="D101" i="8"/>
  <c r="D104" i="8" s="1"/>
  <c r="D110" i="8" s="1"/>
  <c r="E27" i="9"/>
  <c r="E30" i="9" s="1"/>
  <c r="E50" i="9"/>
  <c r="E24" i="9"/>
  <c r="E51" i="9" s="1"/>
  <c r="I22" i="11"/>
  <c r="I46" i="9"/>
  <c r="I53" i="9" s="1"/>
  <c r="I35" i="6"/>
  <c r="I29" i="6"/>
  <c r="I36" i="6"/>
  <c r="N70" i="8"/>
  <c r="O64" i="8"/>
  <c r="D24" i="20"/>
  <c r="D74" i="20" s="1"/>
  <c r="C27" i="20"/>
  <c r="C71" i="20"/>
  <c r="N39" i="3"/>
  <c r="N42" i="3"/>
  <c r="O40" i="3"/>
  <c r="N26" i="3"/>
  <c r="N43" i="9" s="1"/>
  <c r="P21" i="8"/>
  <c r="F14" i="1"/>
  <c r="Q21" i="8" s="1"/>
  <c r="N7" i="17"/>
  <c r="N37" i="4"/>
  <c r="N28" i="4"/>
  <c r="D37" i="1"/>
  <c r="M47" i="7"/>
  <c r="E25" i="12"/>
  <c r="E32" i="12"/>
  <c r="C50" i="9"/>
  <c r="C27" i="9"/>
  <c r="C30" i="9" s="1"/>
  <c r="C24" i="9"/>
  <c r="E28" i="22"/>
  <c r="M44" i="9"/>
  <c r="M49" i="9"/>
  <c r="M95" i="21"/>
  <c r="L97" i="21"/>
  <c r="L99" i="21" s="1"/>
  <c r="L101" i="21" s="1"/>
  <c r="L100" i="21"/>
  <c r="P18" i="3"/>
  <c r="Q15" i="3"/>
  <c r="Q18" i="3" s="1"/>
  <c r="D27" i="9"/>
  <c r="D30" i="9" s="1"/>
  <c r="D50" i="9"/>
  <c r="D24" i="9"/>
  <c r="L79" i="21"/>
  <c r="L81" i="21" s="1"/>
  <c r="L83" i="21" s="1"/>
  <c r="L82" i="21"/>
  <c r="M77" i="21"/>
  <c r="N8" i="13"/>
  <c r="N16" i="13" s="1"/>
  <c r="C72" i="1"/>
  <c r="M42" i="21"/>
  <c r="M39" i="21"/>
  <c r="M41" i="21" s="1"/>
  <c r="M43" i="21" s="1"/>
  <c r="H116" i="21"/>
  <c r="J116" i="21" s="1"/>
  <c r="H51" i="21"/>
  <c r="F16" i="10"/>
  <c r="F26" i="10" s="1"/>
  <c r="K101" i="21"/>
  <c r="B27" i="9"/>
  <c r="B30" i="9" s="1"/>
  <c r="B65" i="9" s="1"/>
  <c r="B24" i="9"/>
  <c r="G28" i="14"/>
  <c r="F30" i="14"/>
  <c r="N25" i="13"/>
  <c r="L25" i="12"/>
  <c r="J86" i="21"/>
  <c r="B39" i="22"/>
  <c r="B87" i="22"/>
  <c r="B13" i="22"/>
  <c r="L13" i="10"/>
  <c r="B119" i="2"/>
  <c r="D45" i="9"/>
  <c r="D52" i="9" s="1"/>
  <c r="D44" i="7"/>
  <c r="D45" i="7" s="1"/>
  <c r="D42" i="7"/>
  <c r="D43" i="7" s="1"/>
  <c r="D23" i="6"/>
  <c r="D28" i="6" s="1"/>
  <c r="E20" i="6"/>
  <c r="D19" i="6"/>
  <c r="D23" i="7" s="1"/>
  <c r="D24" i="7" s="1"/>
  <c r="M19" i="13"/>
  <c r="M23" i="13" s="1"/>
  <c r="M16" i="18"/>
  <c r="M9" i="7"/>
  <c r="M37" i="5"/>
  <c r="C126" i="2"/>
  <c r="H15" i="10"/>
  <c r="I16" i="10" s="1"/>
  <c r="I26" i="10" s="1"/>
  <c r="H27" i="7"/>
  <c r="H28" i="7" s="1"/>
  <c r="K83" i="21"/>
  <c r="K85" i="21" s="1"/>
  <c r="L19" i="19"/>
  <c r="J25" i="12"/>
  <c r="M9" i="12"/>
  <c r="M20" i="12" s="1"/>
  <c r="M14" i="16"/>
  <c r="M37" i="9"/>
  <c r="M34" i="9"/>
  <c r="M11" i="4"/>
  <c r="M20" i="4" s="1"/>
  <c r="J41" i="21"/>
  <c r="J43" i="21" s="1"/>
  <c r="H45" i="9"/>
  <c r="H52" i="9" s="1"/>
  <c r="H42" i="7"/>
  <c r="H43" i="7" s="1"/>
  <c r="H23" i="6"/>
  <c r="H28" i="6" s="1"/>
  <c r="I20" i="6"/>
  <c r="H44" i="7"/>
  <c r="H45" i="7" s="1"/>
  <c r="H19" i="6"/>
  <c r="H23" i="7" s="1"/>
  <c r="H24" i="7" s="1"/>
  <c r="B45" i="9"/>
  <c r="B23" i="6"/>
  <c r="B28" i="6" s="1"/>
  <c r="B44" i="7"/>
  <c r="B45" i="7" s="1"/>
  <c r="B42" i="7"/>
  <c r="B43" i="7" s="1"/>
  <c r="B19" i="6"/>
  <c r="B23" i="7" s="1"/>
  <c r="B24" i="7" s="1"/>
  <c r="C20" i="6"/>
  <c r="L38" i="12"/>
  <c r="L44" i="12" s="1"/>
  <c r="K61" i="21"/>
  <c r="K64" i="21"/>
  <c r="L59" i="21"/>
  <c r="C32" i="12"/>
  <c r="C25" i="12"/>
  <c r="J28" i="12"/>
  <c r="J29" i="12" s="1"/>
  <c r="J32" i="12" s="1"/>
  <c r="J23" i="12"/>
  <c r="J24" i="12" s="1"/>
  <c r="L84" i="21"/>
  <c r="J36" i="12"/>
  <c r="H50" i="9"/>
  <c r="H27" i="9"/>
  <c r="H24" i="9"/>
  <c r="H51" i="9" s="1"/>
  <c r="M33" i="3"/>
  <c r="M36" i="3" s="1"/>
  <c r="G42" i="7"/>
  <c r="G43" i="7" s="1"/>
  <c r="G23" i="6"/>
  <c r="G28" i="6" s="1"/>
  <c r="H20" i="6"/>
  <c r="G19" i="6"/>
  <c r="G23" i="7" s="1"/>
  <c r="G24" i="7" s="1"/>
  <c r="G45" i="9"/>
  <c r="G52" i="9" s="1"/>
  <c r="G44" i="7"/>
  <c r="G45" i="7" s="1"/>
  <c r="C45" i="9"/>
  <c r="C52" i="9" s="1"/>
  <c r="D20" i="6"/>
  <c r="C19" i="6"/>
  <c r="C23" i="7" s="1"/>
  <c r="C24" i="7" s="1"/>
  <c r="C44" i="7"/>
  <c r="C45" i="7" s="1"/>
  <c r="C42" i="7"/>
  <c r="C43" i="7" s="1"/>
  <c r="C23" i="6"/>
  <c r="C28" i="6" s="1"/>
  <c r="G35" i="9"/>
  <c r="G36" i="9" s="1"/>
  <c r="G29" i="9"/>
  <c r="H17" i="9"/>
  <c r="G64" i="9"/>
  <c r="G24" i="9"/>
  <c r="G51" i="9" s="1"/>
  <c r="G50" i="9"/>
  <c r="G27" i="9"/>
  <c r="G30" i="9" s="1"/>
  <c r="M54" i="4"/>
  <c r="J66" i="21"/>
  <c r="I86" i="21"/>
  <c r="L23" i="12"/>
  <c r="L24" i="12" s="1"/>
  <c r="L28" i="12"/>
  <c r="L29" i="12" s="1"/>
  <c r="L32" i="12" s="1"/>
  <c r="J23" i="6"/>
  <c r="J28" i="6" s="1"/>
  <c r="J19" i="6"/>
  <c r="J23" i="7" s="1"/>
  <c r="J24" i="7" s="1"/>
  <c r="J45" i="9"/>
  <c r="J52" i="9" s="1"/>
  <c r="J44" i="7"/>
  <c r="J45" i="7" s="1"/>
  <c r="J42" i="7"/>
  <c r="J43" i="7" s="1"/>
  <c r="K20" i="6"/>
  <c r="M62" i="21"/>
  <c r="K62" i="21"/>
  <c r="J62" i="21"/>
  <c r="J63" i="21" s="1"/>
  <c r="J65" i="21" s="1"/>
  <c r="I62" i="21"/>
  <c r="I63" i="21" s="1"/>
  <c r="I65" i="21" s="1"/>
  <c r="I67" i="21" s="1"/>
  <c r="L62" i="21"/>
  <c r="H63" i="21"/>
  <c r="H65" i="21" s="1"/>
  <c r="H67" i="21" s="1"/>
  <c r="H25" i="12"/>
  <c r="H32" i="12"/>
  <c r="N79" i="19"/>
  <c r="N81" i="19" s="1"/>
  <c r="N8" i="12"/>
  <c r="N42" i="9"/>
  <c r="N47" i="7"/>
  <c r="N54" i="4"/>
  <c r="N8" i="4"/>
  <c r="N8" i="8"/>
  <c r="O20" i="3"/>
  <c r="O41" i="3" s="1"/>
  <c r="D109" i="2"/>
  <c r="D22" i="2"/>
  <c r="D37" i="2" s="1"/>
  <c r="C87" i="1"/>
  <c r="N28" i="3" s="1"/>
  <c r="N33" i="3"/>
  <c r="N36" i="3" s="1"/>
  <c r="G25" i="12"/>
  <c r="G32" i="12"/>
  <c r="L40" i="12"/>
  <c r="F56" i="9"/>
  <c r="F38" i="9"/>
  <c r="K28" i="12"/>
  <c r="K29" i="12" s="1"/>
  <c r="K32" i="12" s="1"/>
  <c r="K86" i="21" l="1"/>
  <c r="I46" i="21"/>
  <c r="D51" i="9"/>
  <c r="O8" i="13"/>
  <c r="O16" i="13" s="1"/>
  <c r="D72" i="1"/>
  <c r="E22" i="11"/>
  <c r="E46" i="9"/>
  <c r="E53" i="9" s="1"/>
  <c r="F30" i="6"/>
  <c r="E29" i="6"/>
  <c r="E35" i="6"/>
  <c r="E36" i="6"/>
  <c r="M38" i="7"/>
  <c r="M40" i="7" s="1"/>
  <c r="D65" i="9"/>
  <c r="D31" i="9"/>
  <c r="D75" i="20"/>
  <c r="C29" i="20"/>
  <c r="C72" i="20"/>
  <c r="B83" i="22"/>
  <c r="L23" i="7"/>
  <c r="L24" i="7" s="1"/>
  <c r="B116" i="2"/>
  <c r="B40" i="2"/>
  <c r="E52" i="1"/>
  <c r="E70" i="1"/>
  <c r="E51" i="1"/>
  <c r="P29" i="8" s="1"/>
  <c r="P8" i="3"/>
  <c r="E63" i="1"/>
  <c r="E69" i="1" s="1"/>
  <c r="E74" i="1"/>
  <c r="P24" i="6" s="1"/>
  <c r="F61" i="1"/>
  <c r="E71" i="1"/>
  <c r="D46" i="1"/>
  <c r="D53" i="1"/>
  <c r="D47" i="1"/>
  <c r="O22" i="13"/>
  <c r="N34" i="4"/>
  <c r="P64" i="8"/>
  <c r="O70" i="8"/>
  <c r="B80" i="20"/>
  <c r="B73" i="20"/>
  <c r="H22" i="11"/>
  <c r="H46" i="9"/>
  <c r="H53" i="9" s="1"/>
  <c r="H29" i="6"/>
  <c r="H35" i="6"/>
  <c r="I30" i="6"/>
  <c r="H36" i="6"/>
  <c r="B69" i="19"/>
  <c r="L22" i="11"/>
  <c r="L46" i="9"/>
  <c r="L53" i="9" s="1"/>
  <c r="L29" i="6"/>
  <c r="L35" i="6"/>
  <c r="B86" i="22" s="1"/>
  <c r="L36" i="6"/>
  <c r="N8" i="5"/>
  <c r="N8" i="6"/>
  <c r="N18" i="6" s="1"/>
  <c r="N16" i="9"/>
  <c r="N9" i="6"/>
  <c r="N9" i="5"/>
  <c r="L61" i="21"/>
  <c r="L63" i="21" s="1"/>
  <c r="L65" i="21" s="1"/>
  <c r="L64" i="21"/>
  <c r="M59" i="21"/>
  <c r="M100" i="21"/>
  <c r="M97" i="21"/>
  <c r="M99" i="21" s="1"/>
  <c r="M101" i="21" s="1"/>
  <c r="N21" i="17"/>
  <c r="N16" i="17"/>
  <c r="E105" i="8"/>
  <c r="E101" i="8"/>
  <c r="E104" i="8" s="1"/>
  <c r="E110" i="8" s="1"/>
  <c r="N38" i="7"/>
  <c r="D24" i="2"/>
  <c r="E37" i="2"/>
  <c r="H35" i="9"/>
  <c r="H36" i="9" s="1"/>
  <c r="H29" i="9"/>
  <c r="H30" i="9" s="1"/>
  <c r="I17" i="9"/>
  <c r="H64" i="9"/>
  <c r="H16" i="10"/>
  <c r="H26" i="10" s="1"/>
  <c r="L85" i="21"/>
  <c r="M84" i="21"/>
  <c r="B46" i="9"/>
  <c r="B22" i="11"/>
  <c r="B35" i="6"/>
  <c r="C30" i="6"/>
  <c r="B29" i="6"/>
  <c r="B36" i="6"/>
  <c r="N44" i="9"/>
  <c r="N49" i="9"/>
  <c r="E31" i="9"/>
  <c r="E65" i="9"/>
  <c r="G65" i="9"/>
  <c r="G31" i="9"/>
  <c r="J22" i="11"/>
  <c r="J46" i="9"/>
  <c r="J53" i="9" s="1"/>
  <c r="K30" i="6"/>
  <c r="J29" i="6"/>
  <c r="J35" i="6"/>
  <c r="J36" i="6"/>
  <c r="K63" i="21"/>
  <c r="K65" i="21" s="1"/>
  <c r="N10" i="16"/>
  <c r="N17" i="13"/>
  <c r="N35" i="5"/>
  <c r="C98" i="1"/>
  <c r="K17" i="10"/>
  <c r="K23" i="11"/>
  <c r="K25" i="7"/>
  <c r="K26" i="7" s="1"/>
  <c r="F46" i="9"/>
  <c r="F53" i="9" s="1"/>
  <c r="F36" i="6"/>
  <c r="F22" i="11"/>
  <c r="G30" i="6"/>
  <c r="F29" i="6"/>
  <c r="F35" i="6"/>
  <c r="F107" i="8"/>
  <c r="F108" i="8" s="1"/>
  <c r="F96" i="8"/>
  <c r="G94" i="8"/>
  <c r="G22" i="11"/>
  <c r="G46" i="9"/>
  <c r="G53" i="9" s="1"/>
  <c r="G29" i="6"/>
  <c r="G35" i="6"/>
  <c r="H30" i="6"/>
  <c r="G36" i="6"/>
  <c r="G38" i="9"/>
  <c r="G56" i="9"/>
  <c r="M8" i="5"/>
  <c r="M18" i="5" s="1"/>
  <c r="M8" i="6"/>
  <c r="M18" i="6" s="1"/>
  <c r="M12" i="12"/>
  <c r="I23" i="11"/>
  <c r="I24" i="11" s="1"/>
  <c r="I17" i="10"/>
  <c r="I25" i="7"/>
  <c r="I26" i="7" s="1"/>
  <c r="M50" i="7"/>
  <c r="J51" i="9"/>
  <c r="N19" i="17"/>
  <c r="N20" i="17" s="1"/>
  <c r="N13" i="11"/>
  <c r="N8" i="11"/>
  <c r="N11" i="11" s="1"/>
  <c r="N39" i="7"/>
  <c r="N31" i="10"/>
  <c r="N32" i="10" s="1"/>
  <c r="N9" i="11"/>
  <c r="N14" i="16"/>
  <c r="N37" i="9"/>
  <c r="N9" i="12"/>
  <c r="N20" i="12" s="1"/>
  <c r="N34" i="9"/>
  <c r="N11" i="4"/>
  <c r="N20" i="4" s="1"/>
  <c r="J67" i="21"/>
  <c r="K66" i="21"/>
  <c r="E74" i="20"/>
  <c r="E24" i="20"/>
  <c r="D27" i="20"/>
  <c r="D71" i="20"/>
  <c r="L27" i="19"/>
  <c r="L21" i="19"/>
  <c r="M79" i="21"/>
  <c r="M81" i="21" s="1"/>
  <c r="M83" i="21" s="1"/>
  <c r="M82" i="21"/>
  <c r="H115" i="21"/>
  <c r="J115" i="21" s="1"/>
  <c r="F28" i="22"/>
  <c r="J30" i="6"/>
  <c r="O79" i="19"/>
  <c r="O81" i="19" s="1"/>
  <c r="O8" i="12"/>
  <c r="O42" i="9"/>
  <c r="O8" i="8"/>
  <c r="E22" i="2"/>
  <c r="D87" i="1"/>
  <c r="O28" i="3" s="1"/>
  <c r="O8" i="4"/>
  <c r="P41" i="3"/>
  <c r="P20" i="3"/>
  <c r="C22" i="11"/>
  <c r="D30" i="6"/>
  <c r="C29" i="6"/>
  <c r="C36" i="6"/>
  <c r="C35" i="6"/>
  <c r="C46" i="9"/>
  <c r="C53" i="9" s="1"/>
  <c r="I68" i="21"/>
  <c r="D46" i="9"/>
  <c r="D53" i="9" s="1"/>
  <c r="D22" i="11"/>
  <c r="D35" i="6"/>
  <c r="D36" i="6"/>
  <c r="D29" i="6"/>
  <c r="E30" i="6"/>
  <c r="C51" i="9"/>
  <c r="O39" i="3"/>
  <c r="O26" i="3"/>
  <c r="O43" i="9" s="1"/>
  <c r="P40" i="3"/>
  <c r="K24" i="11"/>
  <c r="J45" i="21"/>
  <c r="K44" i="21"/>
  <c r="F31" i="9"/>
  <c r="F65" i="9"/>
  <c r="M13" i="16"/>
  <c r="N7" i="16"/>
  <c r="H28" i="14"/>
  <c r="G30" i="14"/>
  <c r="C31" i="9"/>
  <c r="C65" i="9"/>
  <c r="O25" i="13"/>
  <c r="O24" i="13"/>
  <c r="K103" i="21"/>
  <c r="L104" i="21" s="1"/>
  <c r="L102" i="21"/>
  <c r="F51" i="9"/>
  <c r="H65" i="9" l="1"/>
  <c r="H31" i="9"/>
  <c r="O54" i="4"/>
  <c r="K67" i="21"/>
  <c r="L66" i="21"/>
  <c r="E57" i="9"/>
  <c r="E62" i="9" s="1"/>
  <c r="E58" i="9"/>
  <c r="E59" i="9"/>
  <c r="D23" i="11"/>
  <c r="D17" i="10"/>
  <c r="D25" i="7"/>
  <c r="D26" i="7" s="1"/>
  <c r="F74" i="20"/>
  <c r="E27" i="20"/>
  <c r="F24" i="20"/>
  <c r="E71" i="20"/>
  <c r="O14" i="16"/>
  <c r="O9" i="12"/>
  <c r="O20" i="12" s="1"/>
  <c r="O34" i="9"/>
  <c r="O37" i="9"/>
  <c r="O11" i="4"/>
  <c r="O20" i="4" s="1"/>
  <c r="K68" i="21"/>
  <c r="M45" i="9"/>
  <c r="N20" i="6"/>
  <c r="M23" i="6"/>
  <c r="M28" i="6" s="1"/>
  <c r="M20" i="6"/>
  <c r="O44" i="5"/>
  <c r="O24" i="3"/>
  <c r="O33" i="3" s="1"/>
  <c r="O36" i="3" s="1"/>
  <c r="O7" i="17"/>
  <c r="O37" i="4"/>
  <c r="O28" i="4"/>
  <c r="E37" i="1"/>
  <c r="D24" i="11"/>
  <c r="O16" i="9"/>
  <c r="O9" i="5"/>
  <c r="O9" i="6"/>
  <c r="F23" i="11"/>
  <c r="F24" i="11" s="1"/>
  <c r="F17" i="10"/>
  <c r="F25" i="7"/>
  <c r="F26" i="7" s="1"/>
  <c r="F58" i="9"/>
  <c r="F57" i="9"/>
  <c r="F62" i="9" s="1"/>
  <c r="F59" i="9"/>
  <c r="N12" i="12"/>
  <c r="J17" i="10"/>
  <c r="K18" i="10" s="1"/>
  <c r="J23" i="11"/>
  <c r="J25" i="7"/>
  <c r="J26" i="7" s="1"/>
  <c r="H17" i="10"/>
  <c r="I18" i="10" s="1"/>
  <c r="H23" i="11"/>
  <c r="H25" i="7"/>
  <c r="H26" i="7" s="1"/>
  <c r="K45" i="21"/>
  <c r="L44" i="21"/>
  <c r="E24" i="2"/>
  <c r="G17" i="10"/>
  <c r="H18" i="10" s="1"/>
  <c r="G23" i="11"/>
  <c r="G24" i="11" s="1"/>
  <c r="G25" i="7"/>
  <c r="G26" i="7" s="1"/>
  <c r="C41" i="20"/>
  <c r="C43" i="20" s="1"/>
  <c r="C80" i="20"/>
  <c r="C81" i="20" s="1"/>
  <c r="C73" i="20"/>
  <c r="O10" i="16"/>
  <c r="O17" i="13"/>
  <c r="D98" i="1"/>
  <c r="O35" i="5"/>
  <c r="G28" i="22"/>
  <c r="K46" i="21"/>
  <c r="J18" i="10"/>
  <c r="M85" i="21"/>
  <c r="M86" i="21" s="1"/>
  <c r="N45" i="9"/>
  <c r="N23" i="6"/>
  <c r="N28" i="6" s="1"/>
  <c r="H24" i="11"/>
  <c r="C23" i="11"/>
  <c r="C17" i="10"/>
  <c r="D18" i="10" s="1"/>
  <c r="C25" i="7"/>
  <c r="C26" i="7" s="1"/>
  <c r="N18" i="5"/>
  <c r="F74" i="1"/>
  <c r="Q24" i="6" s="1"/>
  <c r="Q8" i="3"/>
  <c r="Q40" i="3" s="1"/>
  <c r="F71" i="1"/>
  <c r="F52" i="1"/>
  <c r="F51" i="1"/>
  <c r="Q29" i="8" s="1"/>
  <c r="F70" i="1"/>
  <c r="F63" i="1"/>
  <c r="F69" i="1" s="1"/>
  <c r="D57" i="9"/>
  <c r="D62" i="9" s="1"/>
  <c r="D59" i="9"/>
  <c r="D58" i="9"/>
  <c r="O49" i="9"/>
  <c r="O44" i="9"/>
  <c r="N49" i="7"/>
  <c r="N50" i="7" s="1"/>
  <c r="N40" i="7"/>
  <c r="L103" i="21"/>
  <c r="M104" i="21" s="1"/>
  <c r="M102" i="21"/>
  <c r="M103" i="21" s="1"/>
  <c r="J24" i="11"/>
  <c r="O42" i="3"/>
  <c r="O47" i="7"/>
  <c r="O7" i="16"/>
  <c r="N13" i="16"/>
  <c r="H94" i="8"/>
  <c r="G96" i="8"/>
  <c r="G107" i="8"/>
  <c r="G108" i="8" s="1"/>
  <c r="G59" i="9"/>
  <c r="G58" i="9"/>
  <c r="G57" i="9"/>
  <c r="G62" i="9" s="1"/>
  <c r="B82" i="20"/>
  <c r="B81" i="20"/>
  <c r="P22" i="13"/>
  <c r="L28" i="19"/>
  <c r="L29" i="19"/>
  <c r="F105" i="8"/>
  <c r="F101" i="8"/>
  <c r="F104" i="8" s="1"/>
  <c r="F110" i="8" s="1"/>
  <c r="B82" i="22"/>
  <c r="B14" i="22"/>
  <c r="M34" i="11"/>
  <c r="M35" i="11" s="1"/>
  <c r="S35" i="11" s="1"/>
  <c r="B50" i="22"/>
  <c r="B52" i="22" s="1"/>
  <c r="L17" i="10"/>
  <c r="L18" i="10" s="1"/>
  <c r="L40" i="19"/>
  <c r="L23" i="11"/>
  <c r="L24" i="11" s="1"/>
  <c r="L25" i="7"/>
  <c r="L26" i="7" s="1"/>
  <c r="B117" i="2"/>
  <c r="B118" i="2" s="1"/>
  <c r="B42" i="2"/>
  <c r="P26" i="3"/>
  <c r="P43" i="9" s="1"/>
  <c r="P42" i="3"/>
  <c r="P39" i="3"/>
  <c r="Q64" i="8"/>
  <c r="Q70" i="8" s="1"/>
  <c r="P70" i="8"/>
  <c r="P25" i="13"/>
  <c r="P24" i="13"/>
  <c r="M8" i="18"/>
  <c r="M13" i="18" s="1"/>
  <c r="M8" i="7"/>
  <c r="M10" i="7" s="1"/>
  <c r="C124" i="2"/>
  <c r="C129" i="2" s="1"/>
  <c r="B95" i="1"/>
  <c r="B103" i="1" s="1"/>
  <c r="N16" i="18"/>
  <c r="N19" i="13"/>
  <c r="N23" i="13" s="1"/>
  <c r="N9" i="7"/>
  <c r="D126" i="2"/>
  <c r="N37" i="5"/>
  <c r="N34" i="7"/>
  <c r="N35" i="10"/>
  <c r="N36" i="10" s="1"/>
  <c r="J46" i="21"/>
  <c r="C57" i="9"/>
  <c r="C62" i="9" s="1"/>
  <c r="C58" i="9"/>
  <c r="C59" i="9"/>
  <c r="C24" i="11"/>
  <c r="P79" i="19"/>
  <c r="P81" i="19" s="1"/>
  <c r="P42" i="9"/>
  <c r="P8" i="12"/>
  <c r="P47" i="7"/>
  <c r="P8" i="8"/>
  <c r="F22" i="2"/>
  <c r="P8" i="4"/>
  <c r="P54" i="4"/>
  <c r="Q20" i="3"/>
  <c r="E75" i="20"/>
  <c r="D29" i="20"/>
  <c r="D72" i="20"/>
  <c r="I35" i="9"/>
  <c r="I36" i="9" s="1"/>
  <c r="I64" i="9"/>
  <c r="I29" i="9"/>
  <c r="I30" i="9" s="1"/>
  <c r="J17" i="9"/>
  <c r="P8" i="13"/>
  <c r="P16" i="13" s="1"/>
  <c r="E72" i="1"/>
  <c r="E87" i="1" s="1"/>
  <c r="P28" i="3" s="1"/>
  <c r="E25" i="7"/>
  <c r="E26" i="7" s="1"/>
  <c r="E23" i="11"/>
  <c r="E24" i="11" s="1"/>
  <c r="E17" i="10"/>
  <c r="F18" i="10" s="1"/>
  <c r="J68" i="21"/>
  <c r="H30" i="14"/>
  <c r="I28" i="14"/>
  <c r="M64" i="21"/>
  <c r="M61" i="21"/>
  <c r="M63" i="21" s="1"/>
  <c r="M65" i="21" s="1"/>
  <c r="H114" i="21"/>
  <c r="J114" i="21" s="1"/>
  <c r="B70" i="19"/>
  <c r="B72" i="19" s="1"/>
  <c r="B71" i="19"/>
  <c r="B23" i="11"/>
  <c r="B24" i="11" s="1"/>
  <c r="B17" i="10"/>
  <c r="C18" i="10" s="1"/>
  <c r="B25" i="7"/>
  <c r="B26" i="7" s="1"/>
  <c r="H38" i="9"/>
  <c r="H56" i="9"/>
  <c r="L86" i="21"/>
  <c r="L23" i="10" l="1"/>
  <c r="L24" i="10" s="1"/>
  <c r="L25" i="10"/>
  <c r="P16" i="9"/>
  <c r="P9" i="6"/>
  <c r="P9" i="5"/>
  <c r="O19" i="13"/>
  <c r="O23" i="13" s="1"/>
  <c r="O16" i="18"/>
  <c r="O9" i="7"/>
  <c r="O37" i="5"/>
  <c r="O35" i="10"/>
  <c r="O36" i="10" s="1"/>
  <c r="O34" i="7"/>
  <c r="O8" i="6"/>
  <c r="O18" i="6" s="1"/>
  <c r="O8" i="5"/>
  <c r="O18" i="5" s="1"/>
  <c r="E29" i="20"/>
  <c r="E72" i="20"/>
  <c r="B73" i="19"/>
  <c r="B68" i="22" s="1"/>
  <c r="B67" i="22"/>
  <c r="G110" i="8"/>
  <c r="O19" i="17"/>
  <c r="O20" i="17" s="1"/>
  <c r="O13" i="11"/>
  <c r="O8" i="11"/>
  <c r="O11" i="11" s="1"/>
  <c r="O39" i="7"/>
  <c r="O31" i="10"/>
  <c r="O32" i="10" s="1"/>
  <c r="O9" i="11"/>
  <c r="D23" i="10"/>
  <c r="D24" i="10" s="1"/>
  <c r="D25" i="10"/>
  <c r="M44" i="21"/>
  <c r="M45" i="21" s="1"/>
  <c r="H52" i="21" s="1"/>
  <c r="H53" i="21" s="1"/>
  <c r="L45" i="21"/>
  <c r="M46" i="21" s="1"/>
  <c r="G101" i="8"/>
  <c r="G104" i="8" s="1"/>
  <c r="G105" i="8"/>
  <c r="L46" i="21"/>
  <c r="G18" i="10"/>
  <c r="H107" i="8"/>
  <c r="H108" i="8" s="1"/>
  <c r="I94" i="8"/>
  <c r="H96" i="8"/>
  <c r="M22" i="11"/>
  <c r="M46" i="9"/>
  <c r="N30" i="6"/>
  <c r="C32" i="22"/>
  <c r="M30" i="6"/>
  <c r="E18" i="10"/>
  <c r="B74" i="19"/>
  <c r="B69" i="22" s="1"/>
  <c r="P49" i="9"/>
  <c r="P44" i="9"/>
  <c r="J35" i="9"/>
  <c r="J36" i="9" s="1"/>
  <c r="J29" i="9"/>
  <c r="J30" i="9" s="1"/>
  <c r="K17" i="9"/>
  <c r="J64" i="9"/>
  <c r="I38" i="9"/>
  <c r="I56" i="9"/>
  <c r="D41" i="20"/>
  <c r="D43" i="20" s="1"/>
  <c r="D80" i="20"/>
  <c r="D81" i="20" s="1"/>
  <c r="D73" i="20"/>
  <c r="N22" i="11"/>
  <c r="N46" i="9"/>
  <c r="D32" i="22"/>
  <c r="I25" i="10"/>
  <c r="I23" i="10"/>
  <c r="I24" i="10" s="1"/>
  <c r="I30" i="14"/>
  <c r="J28" i="14"/>
  <c r="F23" i="10"/>
  <c r="F24" i="10" s="1"/>
  <c r="F25" i="10"/>
  <c r="B48" i="2"/>
  <c r="B50" i="2"/>
  <c r="O12" i="12"/>
  <c r="Q79" i="19"/>
  <c r="Q81" i="19" s="1"/>
  <c r="B98" i="22"/>
  <c r="C88" i="22"/>
  <c r="E88" i="22" s="1"/>
  <c r="Q8" i="12"/>
  <c r="Q42" i="9"/>
  <c r="Q8" i="4"/>
  <c r="Q8" i="8"/>
  <c r="G22" i="2"/>
  <c r="M51" i="3"/>
  <c r="Q41" i="3"/>
  <c r="Q25" i="13"/>
  <c r="Q24" i="13"/>
  <c r="J23" i="10"/>
  <c r="J24" i="10" s="1"/>
  <c r="J25" i="10"/>
  <c r="K23" i="10"/>
  <c r="K24" i="10" s="1"/>
  <c r="K25" i="10"/>
  <c r="E53" i="1"/>
  <c r="E46" i="1"/>
  <c r="E47" i="1" s="1"/>
  <c r="I65" i="9"/>
  <c r="I31" i="9"/>
  <c r="L37" i="19"/>
  <c r="C11" i="22"/>
  <c r="B107" i="1"/>
  <c r="B108" i="1" s="1"/>
  <c r="B105" i="1"/>
  <c r="P10" i="16"/>
  <c r="P17" i="13"/>
  <c r="P35" i="5"/>
  <c r="E98" i="1"/>
  <c r="P38" i="7"/>
  <c r="O34" i="4"/>
  <c r="L67" i="21"/>
  <c r="M66" i="21"/>
  <c r="M67" i="21" s="1"/>
  <c r="Q8" i="13"/>
  <c r="Q16" i="13" s="1"/>
  <c r="F72" i="1"/>
  <c r="F87" i="1" s="1"/>
  <c r="Q28" i="3" s="1"/>
  <c r="H23" i="10"/>
  <c r="H24" i="10" s="1"/>
  <c r="H25" i="10"/>
  <c r="C23" i="10"/>
  <c r="C24" i="10" s="1"/>
  <c r="C25" i="10"/>
  <c r="P9" i="12"/>
  <c r="P20" i="12" s="1"/>
  <c r="P14" i="16"/>
  <c r="P34" i="9"/>
  <c r="P37" i="9"/>
  <c r="P11" i="4"/>
  <c r="P20" i="4" s="1"/>
  <c r="M27" i="11"/>
  <c r="M27" i="18"/>
  <c r="M26" i="18"/>
  <c r="C82" i="20"/>
  <c r="B83" i="20"/>
  <c r="B97" i="22"/>
  <c r="Q26" i="3"/>
  <c r="Q43" i="9" s="1"/>
  <c r="Q42" i="3"/>
  <c r="Q39" i="3"/>
  <c r="O21" i="17"/>
  <c r="O16" i="17"/>
  <c r="P7" i="16"/>
  <c r="O13" i="16"/>
  <c r="O38" i="7"/>
  <c r="B54" i="22"/>
  <c r="B53" i="22"/>
  <c r="Q22" i="13"/>
  <c r="H58" i="9"/>
  <c r="H59" i="9"/>
  <c r="H57" i="9"/>
  <c r="H62" i="9" s="1"/>
  <c r="F24" i="2"/>
  <c r="G37" i="2"/>
  <c r="N8" i="18"/>
  <c r="N13" i="18" s="1"/>
  <c r="N8" i="7"/>
  <c r="N10" i="7" s="1"/>
  <c r="D124" i="2"/>
  <c r="C95" i="1"/>
  <c r="F37" i="2"/>
  <c r="G24" i="20"/>
  <c r="G74" i="20"/>
  <c r="F27" i="20"/>
  <c r="F71" i="20"/>
  <c r="P44" i="5" l="1"/>
  <c r="P24" i="3"/>
  <c r="P33" i="3" s="1"/>
  <c r="P36" i="3" s="1"/>
  <c r="Q16" i="9"/>
  <c r="Q9" i="6"/>
  <c r="Q9" i="5"/>
  <c r="P16" i="18"/>
  <c r="P19" i="13"/>
  <c r="P23" i="13" s="1"/>
  <c r="P9" i="7"/>
  <c r="P37" i="5"/>
  <c r="P34" i="7"/>
  <c r="P35" i="10"/>
  <c r="P36" i="10" s="1"/>
  <c r="Q49" i="9"/>
  <c r="Q44" i="9"/>
  <c r="O8" i="18"/>
  <c r="O13" i="18" s="1"/>
  <c r="O8" i="7"/>
  <c r="O10" i="7" s="1"/>
  <c r="D95" i="1"/>
  <c r="O45" i="9"/>
  <c r="O23" i="6"/>
  <c r="O28" i="6" s="1"/>
  <c r="O20" i="6"/>
  <c r="O49" i="7"/>
  <c r="O50" i="7" s="1"/>
  <c r="O40" i="7"/>
  <c r="H101" i="8"/>
  <c r="H104" i="8" s="1"/>
  <c r="H110" i="8" s="1"/>
  <c r="H105" i="8"/>
  <c r="M68" i="21"/>
  <c r="L38" i="19"/>
  <c r="L39" i="19" s="1"/>
  <c r="D50" i="19"/>
  <c r="C51" i="19"/>
  <c r="D48" i="19"/>
  <c r="C48" i="19"/>
  <c r="G52" i="19"/>
  <c r="G50" i="19"/>
  <c r="C50" i="19"/>
  <c r="F52" i="19"/>
  <c r="F50" i="19"/>
  <c r="G48" i="19"/>
  <c r="G49" i="19"/>
  <c r="D49" i="19"/>
  <c r="F51" i="19"/>
  <c r="D52" i="19"/>
  <c r="C49" i="19"/>
  <c r="C52" i="19"/>
  <c r="F49" i="19"/>
  <c r="E49" i="19"/>
  <c r="E52" i="19"/>
  <c r="E48" i="19"/>
  <c r="E51" i="19"/>
  <c r="F48" i="19"/>
  <c r="G51" i="19"/>
  <c r="E50" i="19"/>
  <c r="D51" i="19"/>
  <c r="J65" i="9"/>
  <c r="J31" i="9"/>
  <c r="N27" i="11"/>
  <c r="K64" i="9"/>
  <c r="K29" i="9"/>
  <c r="K30" i="9" s="1"/>
  <c r="L17" i="9"/>
  <c r="K35" i="9"/>
  <c r="K36" i="9" s="1"/>
  <c r="I107" i="8"/>
  <c r="I108" i="8" s="1"/>
  <c r="I96" i="8"/>
  <c r="J94" i="8"/>
  <c r="Q7" i="16"/>
  <c r="P13" i="16"/>
  <c r="I57" i="9"/>
  <c r="I62" i="9" s="1"/>
  <c r="I59" i="9"/>
  <c r="I58" i="9"/>
  <c r="Q54" i="4"/>
  <c r="J56" i="9"/>
  <c r="J38" i="9"/>
  <c r="G23" i="10"/>
  <c r="G24" i="10" s="1"/>
  <c r="G25" i="10"/>
  <c r="P12" i="12"/>
  <c r="H22" i="2"/>
  <c r="H24" i="2" s="1"/>
  <c r="H33" i="2" s="1"/>
  <c r="H34" i="2" s="1"/>
  <c r="H61" i="2" s="1"/>
  <c r="H62" i="2" s="1"/>
  <c r="G24" i="2"/>
  <c r="B54" i="1"/>
  <c r="P7" i="17"/>
  <c r="P37" i="4"/>
  <c r="P28" i="4"/>
  <c r="F37" i="1"/>
  <c r="G27" i="20"/>
  <c r="B33" i="20"/>
  <c r="G71" i="20"/>
  <c r="D82" i="20"/>
  <c r="C83" i="20"/>
  <c r="E25" i="10"/>
  <c r="E23" i="10"/>
  <c r="E24" i="10" s="1"/>
  <c r="M26" i="5"/>
  <c r="B106" i="1"/>
  <c r="B80" i="1" s="1"/>
  <c r="B82" i="1" s="1"/>
  <c r="L68" i="21"/>
  <c r="Q9" i="12"/>
  <c r="Q20" i="12" s="1"/>
  <c r="Q14" i="16"/>
  <c r="Q13" i="16" s="1"/>
  <c r="Q34" i="9"/>
  <c r="Q37" i="9"/>
  <c r="Q11" i="4"/>
  <c r="Q20" i="4" s="1"/>
  <c r="N26" i="18"/>
  <c r="Q17" i="13"/>
  <c r="Q10" i="16"/>
  <c r="Q35" i="5"/>
  <c r="F98" i="1"/>
  <c r="J30" i="14"/>
  <c r="K28" i="14"/>
  <c r="G75" i="20"/>
  <c r="F29" i="20"/>
  <c r="F72" i="20"/>
  <c r="Q47" i="7"/>
  <c r="F75" i="20"/>
  <c r="E80" i="20"/>
  <c r="E81" i="20" s="1"/>
  <c r="E41" i="20"/>
  <c r="E43" i="20" s="1"/>
  <c r="E73" i="20"/>
  <c r="F80" i="20" l="1"/>
  <c r="F81" i="20" s="1"/>
  <c r="F41" i="20"/>
  <c r="F43" i="20" s="1"/>
  <c r="F73" i="20"/>
  <c r="D54" i="20"/>
  <c r="D52" i="20"/>
  <c r="D50" i="20"/>
  <c r="C54" i="20"/>
  <c r="C52" i="20"/>
  <c r="C50" i="20"/>
  <c r="B54" i="20"/>
  <c r="B52" i="20"/>
  <c r="B50" i="20"/>
  <c r="H53" i="20"/>
  <c r="H51" i="20"/>
  <c r="F53" i="20"/>
  <c r="F51" i="20"/>
  <c r="F52" i="20"/>
  <c r="E52" i="20"/>
  <c r="G51" i="20"/>
  <c r="H54" i="20"/>
  <c r="E51" i="20"/>
  <c r="F54" i="20"/>
  <c r="C51" i="20"/>
  <c r="E54" i="20"/>
  <c r="B51" i="20"/>
  <c r="G53" i="20"/>
  <c r="H50" i="20"/>
  <c r="B34" i="20"/>
  <c r="B36" i="20" s="1"/>
  <c r="E53" i="20"/>
  <c r="G50" i="20"/>
  <c r="C53" i="20"/>
  <c r="E50" i="20"/>
  <c r="B53" i="20"/>
  <c r="H52" i="20"/>
  <c r="G52" i="20"/>
  <c r="G54" i="20"/>
  <c r="D53" i="20"/>
  <c r="D51" i="20"/>
  <c r="F50" i="20"/>
  <c r="K30" i="14"/>
  <c r="L28" i="14"/>
  <c r="L30" i="14" s="1"/>
  <c r="I105" i="8"/>
  <c r="I101" i="8"/>
  <c r="I104" i="8" s="1"/>
  <c r="I110" i="8"/>
  <c r="P34" i="4"/>
  <c r="P16" i="17"/>
  <c r="K56" i="9"/>
  <c r="K38" i="9"/>
  <c r="Q16" i="18"/>
  <c r="Q19" i="13"/>
  <c r="Q23" i="13" s="1"/>
  <c r="Q9" i="7"/>
  <c r="Q37" i="5"/>
  <c r="Q35" i="10"/>
  <c r="Q36" i="10" s="1"/>
  <c r="Q34" i="7"/>
  <c r="M14" i="12"/>
  <c r="M27" i="12" s="1"/>
  <c r="M53" i="4"/>
  <c r="B83" i="1"/>
  <c r="C77" i="1"/>
  <c r="C10" i="22"/>
  <c r="M38" i="4"/>
  <c r="L35" i="9"/>
  <c r="L36" i="9" s="1"/>
  <c r="L29" i="9"/>
  <c r="L30" i="9" s="1"/>
  <c r="L64" i="9"/>
  <c r="M17" i="9"/>
  <c r="O22" i="11"/>
  <c r="O46" i="9"/>
  <c r="E32" i="22"/>
  <c r="O30" i="6"/>
  <c r="K94" i="8"/>
  <c r="J96" i="8"/>
  <c r="J107" i="8"/>
  <c r="J108" i="8" s="1"/>
  <c r="M21" i="18"/>
  <c r="M22" i="18" s="1"/>
  <c r="M24" i="18" s="1"/>
  <c r="M20" i="11"/>
  <c r="M21" i="11"/>
  <c r="M29" i="5"/>
  <c r="M39" i="5" s="1"/>
  <c r="M41" i="5" s="1"/>
  <c r="N40" i="5" s="1"/>
  <c r="M23" i="4"/>
  <c r="K65" i="9"/>
  <c r="K31" i="9"/>
  <c r="Q38" i="7"/>
  <c r="B75" i="2"/>
  <c r="B76" i="2" s="1"/>
  <c r="G68" i="2"/>
  <c r="G69" i="2" s="1"/>
  <c r="B71" i="2" s="1"/>
  <c r="B81" i="2" s="1"/>
  <c r="G29" i="20"/>
  <c r="G72" i="20"/>
  <c r="F46" i="1"/>
  <c r="F47" i="1" s="1"/>
  <c r="F53" i="1"/>
  <c r="O27" i="11"/>
  <c r="E82" i="20"/>
  <c r="D83" i="20"/>
  <c r="O26" i="18"/>
  <c r="P8" i="6"/>
  <c r="P18" i="6" s="1"/>
  <c r="P8" i="5"/>
  <c r="P18" i="5" s="1"/>
  <c r="Q12" i="12"/>
  <c r="J59" i="9"/>
  <c r="J57" i="9"/>
  <c r="J62" i="9" s="1"/>
  <c r="J58" i="9"/>
  <c r="P8" i="11"/>
  <c r="P11" i="11" s="1"/>
  <c r="P19" i="17"/>
  <c r="P20" i="17" s="1"/>
  <c r="P13" i="11"/>
  <c r="P39" i="7"/>
  <c r="P31" i="10"/>
  <c r="P32" i="10" s="1"/>
  <c r="P9" i="11"/>
  <c r="Q44" i="5" l="1"/>
  <c r="Q24" i="3"/>
  <c r="Q33" i="3" s="1"/>
  <c r="Q36" i="3" s="1"/>
  <c r="M35" i="9"/>
  <c r="M36" i="9" s="1"/>
  <c r="M29" i="9"/>
  <c r="N17" i="9"/>
  <c r="M64" i="9"/>
  <c r="G42" i="20"/>
  <c r="B37" i="20"/>
  <c r="B88" i="20" s="1"/>
  <c r="B89" i="20" s="1"/>
  <c r="L56" i="9"/>
  <c r="L38" i="9"/>
  <c r="J110" i="8"/>
  <c r="M41" i="4"/>
  <c r="M43" i="4" s="1"/>
  <c r="M83" i="19" s="1"/>
  <c r="M84" i="19" s="1"/>
  <c r="M85" i="19" s="1"/>
  <c r="M49" i="4"/>
  <c r="P49" i="7"/>
  <c r="P50" i="7" s="1"/>
  <c r="P40" i="7"/>
  <c r="P45" i="9"/>
  <c r="P23" i="6"/>
  <c r="P28" i="6" s="1"/>
  <c r="P20" i="6"/>
  <c r="G41" i="20"/>
  <c r="G43" i="20" s="1"/>
  <c r="B44" i="20" s="1"/>
  <c r="B94" i="20" s="1"/>
  <c r="G80" i="20"/>
  <c r="G81" i="20" s="1"/>
  <c r="G73" i="20"/>
  <c r="L31" i="9"/>
  <c r="L65" i="9"/>
  <c r="J101" i="8"/>
  <c r="J104" i="8" s="1"/>
  <c r="J105" i="8"/>
  <c r="P21" i="17"/>
  <c r="B80" i="2"/>
  <c r="B77" i="2"/>
  <c r="L94" i="8"/>
  <c r="K96" i="8"/>
  <c r="K107" i="8"/>
  <c r="K108" i="8" s="1"/>
  <c r="C101" i="1"/>
  <c r="C103" i="1" s="1"/>
  <c r="N27" i="5"/>
  <c r="P8" i="18"/>
  <c r="P13" i="18" s="1"/>
  <c r="E95" i="1"/>
  <c r="P8" i="7"/>
  <c r="P10" i="7" s="1"/>
  <c r="F82" i="20"/>
  <c r="E83" i="20"/>
  <c r="M43" i="3"/>
  <c r="M45" i="5"/>
  <c r="M34" i="6" s="1"/>
  <c r="M52" i="4"/>
  <c r="M33" i="12" s="1"/>
  <c r="K59" i="9"/>
  <c r="K58" i="9"/>
  <c r="K57" i="9"/>
  <c r="K62" i="9" s="1"/>
  <c r="Q7" i="17"/>
  <c r="Q28" i="4"/>
  <c r="Q37" i="4"/>
  <c r="M25" i="4"/>
  <c r="M87" i="19" l="1"/>
  <c r="M88" i="19"/>
  <c r="P27" i="11"/>
  <c r="C18" i="22"/>
  <c r="M21" i="9"/>
  <c r="M50" i="4"/>
  <c r="C27" i="2"/>
  <c r="C33" i="2" s="1"/>
  <c r="C34" i="2" s="1"/>
  <c r="M51" i="4"/>
  <c r="Q16" i="17"/>
  <c r="P26" i="18"/>
  <c r="L59" i="9"/>
  <c r="L58" i="9"/>
  <c r="L57" i="9"/>
  <c r="L62" i="9" s="1"/>
  <c r="B90" i="20"/>
  <c r="N19" i="18"/>
  <c r="D128" i="2"/>
  <c r="D129" i="2" s="1"/>
  <c r="D11" i="22"/>
  <c r="C107" i="1"/>
  <c r="C108" i="1" s="1"/>
  <c r="C105" i="1"/>
  <c r="N29" i="9"/>
  <c r="O17" i="9"/>
  <c r="N35" i="9"/>
  <c r="N36" i="9" s="1"/>
  <c r="N64" i="9"/>
  <c r="L107" i="8"/>
  <c r="L108" i="8" s="1"/>
  <c r="L96" i="8"/>
  <c r="M38" i="9"/>
  <c r="M56" i="9"/>
  <c r="M28" i="11"/>
  <c r="M29" i="11" s="1"/>
  <c r="M15" i="7"/>
  <c r="M36" i="6"/>
  <c r="M35" i="6"/>
  <c r="P22" i="11"/>
  <c r="P46" i="9"/>
  <c r="F32" i="22"/>
  <c r="P30" i="6"/>
  <c r="M20" i="9"/>
  <c r="M44" i="4"/>
  <c r="M46" i="4" s="1"/>
  <c r="Q8" i="5"/>
  <c r="Q18" i="5" s="1"/>
  <c r="Q8" i="6"/>
  <c r="Q18" i="6" s="1"/>
  <c r="K105" i="8"/>
  <c r="K101" i="8"/>
  <c r="K104" i="8" s="1"/>
  <c r="K110" i="8" s="1"/>
  <c r="M17" i="11"/>
  <c r="M19" i="11"/>
  <c r="M33" i="10"/>
  <c r="M34" i="10" s="1"/>
  <c r="M18" i="11"/>
  <c r="M42" i="7"/>
  <c r="M43" i="7" s="1"/>
  <c r="M33" i="7"/>
  <c r="M11" i="7"/>
  <c r="M32" i="7"/>
  <c r="M19" i="6"/>
  <c r="M44" i="7"/>
  <c r="M45" i="7" s="1"/>
  <c r="M29" i="6"/>
  <c r="C12" i="2"/>
  <c r="C41" i="2"/>
  <c r="Q34" i="4"/>
  <c r="G82" i="20"/>
  <c r="F83" i="20"/>
  <c r="Q19" i="17"/>
  <c r="Q20" i="17" s="1"/>
  <c r="Q13" i="11"/>
  <c r="Q8" i="11"/>
  <c r="Q11" i="11" s="1"/>
  <c r="Q39" i="7"/>
  <c r="Q9" i="11"/>
  <c r="Q31" i="10"/>
  <c r="Q32" i="10" s="1"/>
  <c r="Q21" i="17" l="1"/>
  <c r="N26" i="5"/>
  <c r="C106" i="1"/>
  <c r="C80" i="1" s="1"/>
  <c r="C82" i="1" s="1"/>
  <c r="C54" i="1"/>
  <c r="C112" i="2"/>
  <c r="C36" i="2"/>
  <c r="M11" i="12"/>
  <c r="M55" i="4"/>
  <c r="N27" i="18"/>
  <c r="B91" i="20"/>
  <c r="B92" i="20" s="1"/>
  <c r="B93" i="20" s="1"/>
  <c r="G83" i="20"/>
  <c r="Q8" i="18"/>
  <c r="Q13" i="18" s="1"/>
  <c r="Q8" i="7"/>
  <c r="Q10" i="7" s="1"/>
  <c r="F95" i="1"/>
  <c r="M52" i="9"/>
  <c r="M39" i="9"/>
  <c r="M53" i="9" s="1"/>
  <c r="M23" i="9"/>
  <c r="L105" i="8"/>
  <c r="L101" i="8"/>
  <c r="L104" i="8" s="1"/>
  <c r="L110" i="8" s="1"/>
  <c r="B99" i="22"/>
  <c r="Q45" i="9"/>
  <c r="Q23" i="6"/>
  <c r="Q28" i="6" s="1"/>
  <c r="Q20" i="6"/>
  <c r="Q49" i="7"/>
  <c r="Q50" i="7" s="1"/>
  <c r="Q40" i="7"/>
  <c r="C93" i="22" s="1"/>
  <c r="E93" i="22" s="1"/>
  <c r="M17" i="7"/>
  <c r="C16" i="22" s="1"/>
  <c r="M18" i="7"/>
  <c r="M52" i="7" s="1"/>
  <c r="N38" i="9"/>
  <c r="N56" i="9"/>
  <c r="C14" i="22"/>
  <c r="C31" i="22" s="1"/>
  <c r="C44" i="22"/>
  <c r="C50" i="22"/>
  <c r="C52" i="22" s="1"/>
  <c r="C54" i="22" s="1"/>
  <c r="M23" i="11"/>
  <c r="M24" i="11" s="1"/>
  <c r="M25" i="7"/>
  <c r="M26" i="7" s="1"/>
  <c r="M17" i="10"/>
  <c r="C42" i="2"/>
  <c r="C117" i="2"/>
  <c r="C118" i="2" s="1"/>
  <c r="P17" i="9"/>
  <c r="O29" i="9"/>
  <c r="O35" i="9"/>
  <c r="O36" i="9" s="1"/>
  <c r="O64" i="9"/>
  <c r="C15" i="22"/>
  <c r="M15" i="10"/>
  <c r="M27" i="7"/>
  <c r="M28" i="7" s="1"/>
  <c r="C44" i="2"/>
  <c r="C45" i="22"/>
  <c r="M23" i="7"/>
  <c r="M24" i="7" s="1"/>
  <c r="C116" i="2"/>
  <c r="C40" i="2"/>
  <c r="M50" i="9" l="1"/>
  <c r="M27" i="9"/>
  <c r="M30" i="9" s="1"/>
  <c r="M24" i="9"/>
  <c r="M51" i="9" s="1"/>
  <c r="C49" i="2"/>
  <c r="C51" i="2"/>
  <c r="B100" i="22"/>
  <c r="Q22" i="11"/>
  <c r="Q46" i="9"/>
  <c r="G32" i="22"/>
  <c r="Q30" i="6"/>
  <c r="C113" i="2"/>
  <c r="O56" i="9"/>
  <c r="O38" i="9"/>
  <c r="D10" i="22"/>
  <c r="N38" i="4"/>
  <c r="C33" i="22"/>
  <c r="C34" i="22" s="1"/>
  <c r="C40" i="22"/>
  <c r="C13" i="22"/>
  <c r="M13" i="10"/>
  <c r="C119" i="2"/>
  <c r="M16" i="10"/>
  <c r="M26" i="10" s="1"/>
  <c r="M28" i="12"/>
  <c r="M29" i="12" s="1"/>
  <c r="M32" i="12" s="1"/>
  <c r="M39" i="12"/>
  <c r="M36" i="12"/>
  <c r="M23" i="12"/>
  <c r="M24" i="12" s="1"/>
  <c r="M25" i="12" s="1"/>
  <c r="M40" i="12"/>
  <c r="M37" i="12"/>
  <c r="M43" i="12" s="1"/>
  <c r="M41" i="12"/>
  <c r="M38" i="12"/>
  <c r="M44" i="12" s="1"/>
  <c r="Q17" i="9"/>
  <c r="P29" i="9"/>
  <c r="P35" i="9"/>
  <c r="P36" i="9" s="1"/>
  <c r="P64" i="9"/>
  <c r="Q27" i="11"/>
  <c r="N14" i="12"/>
  <c r="N27" i="12" s="1"/>
  <c r="N53" i="4"/>
  <c r="D77" i="1"/>
  <c r="C83" i="1"/>
  <c r="N21" i="18"/>
  <c r="N22" i="18" s="1"/>
  <c r="N24" i="18" s="1"/>
  <c r="N21" i="11"/>
  <c r="N20" i="11"/>
  <c r="N29" i="5"/>
  <c r="N39" i="5" s="1"/>
  <c r="N41" i="5" s="1"/>
  <c r="O40" i="5" s="1"/>
  <c r="N23" i="4"/>
  <c r="C48" i="2"/>
  <c r="C50" i="2"/>
  <c r="M18" i="10"/>
  <c r="Q26" i="18"/>
  <c r="C41" i="22" l="1"/>
  <c r="C42" i="22"/>
  <c r="O27" i="5"/>
  <c r="O19" i="18" s="1"/>
  <c r="D101" i="1"/>
  <c r="D103" i="1" s="1"/>
  <c r="N45" i="5"/>
  <c r="N34" i="6" s="1"/>
  <c r="N43" i="3"/>
  <c r="N85" i="19"/>
  <c r="N52" i="4"/>
  <c r="N33" i="12" s="1"/>
  <c r="M65" i="9"/>
  <c r="M31" i="9"/>
  <c r="M23" i="10"/>
  <c r="M24" i="10" s="1"/>
  <c r="M25" i="10"/>
  <c r="P56" i="9"/>
  <c r="P38" i="9"/>
  <c r="N25" i="4"/>
  <c r="Q29" i="9"/>
  <c r="Q35" i="9"/>
  <c r="Q36" i="9" s="1"/>
  <c r="Q64" i="9"/>
  <c r="N49" i="4"/>
  <c r="N41" i="4"/>
  <c r="N43" i="4" s="1"/>
  <c r="N83" i="19" s="1"/>
  <c r="N84" i="19" s="1"/>
  <c r="N87" i="19" l="1"/>
  <c r="N88" i="19"/>
  <c r="N17" i="11"/>
  <c r="N19" i="11"/>
  <c r="N33" i="7"/>
  <c r="N11" i="7"/>
  <c r="N32" i="7"/>
  <c r="N44" i="7"/>
  <c r="N45" i="7" s="1"/>
  <c r="N42" i="7"/>
  <c r="N43" i="7" s="1"/>
  <c r="N29" i="6"/>
  <c r="D12" i="2"/>
  <c r="N19" i="6"/>
  <c r="D41" i="2"/>
  <c r="N33" i="10"/>
  <c r="N34" i="10" s="1"/>
  <c r="N18" i="11"/>
  <c r="Q38" i="9"/>
  <c r="Q56" i="9"/>
  <c r="N20" i="9"/>
  <c r="N44" i="4"/>
  <c r="N46" i="4" s="1"/>
  <c r="D18" i="22"/>
  <c r="N21" i="9"/>
  <c r="N50" i="4"/>
  <c r="D27" i="2"/>
  <c r="D33" i="2" s="1"/>
  <c r="D34" i="2" s="1"/>
  <c r="N51" i="4"/>
  <c r="N28" i="11"/>
  <c r="N29" i="11" s="1"/>
  <c r="N36" i="6"/>
  <c r="N15" i="7"/>
  <c r="N35" i="6"/>
  <c r="E11" i="22"/>
  <c r="D105" i="1"/>
  <c r="M59" i="9"/>
  <c r="M58" i="9"/>
  <c r="M57" i="9"/>
  <c r="M62" i="9" s="1"/>
  <c r="O27" i="18"/>
  <c r="O26" i="5" l="1"/>
  <c r="D106" i="1"/>
  <c r="D80" i="1" s="1"/>
  <c r="D82" i="1" s="1"/>
  <c r="D15" i="22"/>
  <c r="N15" i="10"/>
  <c r="N27" i="7"/>
  <c r="N28" i="7" s="1"/>
  <c r="D44" i="2"/>
  <c r="D107" i="1"/>
  <c r="D108" i="1" s="1"/>
  <c r="N39" i="9"/>
  <c r="N53" i="9" s="1"/>
  <c r="N52" i="9"/>
  <c r="N23" i="9"/>
  <c r="N17" i="7"/>
  <c r="D16" i="22" s="1"/>
  <c r="N18" i="7"/>
  <c r="N52" i="7" s="1"/>
  <c r="D45" i="22"/>
  <c r="N23" i="7"/>
  <c r="N24" i="7" s="1"/>
  <c r="D40" i="2"/>
  <c r="D116" i="2"/>
  <c r="D44" i="22"/>
  <c r="D50" i="22"/>
  <c r="D52" i="22" s="1"/>
  <c r="D54" i="22" s="1"/>
  <c r="D14" i="22"/>
  <c r="D31" i="22" s="1"/>
  <c r="N17" i="10"/>
  <c r="N23" i="11"/>
  <c r="N24" i="11" s="1"/>
  <c r="N25" i="7"/>
  <c r="N26" i="7" s="1"/>
  <c r="D117" i="2"/>
  <c r="D118" i="2" s="1"/>
  <c r="D42" i="2"/>
  <c r="D112" i="2"/>
  <c r="D113" i="2" s="1"/>
  <c r="D36" i="2"/>
  <c r="N11" i="12"/>
  <c r="N55" i="4"/>
  <c r="N16" i="10" l="1"/>
  <c r="N26" i="10" s="1"/>
  <c r="D33" i="22"/>
  <c r="D34" i="22" s="1"/>
  <c r="O14" i="12"/>
  <c r="O27" i="12" s="1"/>
  <c r="O53" i="4"/>
  <c r="E77" i="1"/>
  <c r="D83" i="1"/>
  <c r="N28" i="12"/>
  <c r="N29" i="12" s="1"/>
  <c r="N32" i="12" s="1"/>
  <c r="N41" i="12"/>
  <c r="N37" i="12"/>
  <c r="N43" i="12" s="1"/>
  <c r="N40" i="12"/>
  <c r="N39" i="12"/>
  <c r="N38" i="12"/>
  <c r="N44" i="12" s="1"/>
  <c r="N36" i="12"/>
  <c r="N23" i="12"/>
  <c r="N24" i="12" s="1"/>
  <c r="N25" i="12" s="1"/>
  <c r="D50" i="2"/>
  <c r="D48" i="2"/>
  <c r="N50" i="9"/>
  <c r="N27" i="9"/>
  <c r="N30" i="9" s="1"/>
  <c r="N24" i="9"/>
  <c r="N51" i="9" s="1"/>
  <c r="D54" i="1"/>
  <c r="N18" i="10"/>
  <c r="D49" i="2"/>
  <c r="D51" i="2"/>
  <c r="D40" i="22"/>
  <c r="D13" i="22"/>
  <c r="N13" i="10"/>
  <c r="D119" i="2"/>
  <c r="O21" i="18"/>
  <c r="O22" i="18" s="1"/>
  <c r="O24" i="18" s="1"/>
  <c r="O20" i="11"/>
  <c r="O21" i="11"/>
  <c r="O29" i="5"/>
  <c r="O39" i="5" s="1"/>
  <c r="O41" i="5" s="1"/>
  <c r="P40" i="5" s="1"/>
  <c r="O23" i="4"/>
  <c r="O25" i="4" l="1"/>
  <c r="O52" i="4"/>
  <c r="O33" i="12" s="1"/>
  <c r="O45" i="5"/>
  <c r="O34" i="6" s="1"/>
  <c r="O43" i="3"/>
  <c r="N31" i="9"/>
  <c r="N65" i="9"/>
  <c r="N23" i="10"/>
  <c r="N24" i="10" s="1"/>
  <c r="N25" i="10"/>
  <c r="E10" i="22"/>
  <c r="O38" i="4"/>
  <c r="P27" i="5"/>
  <c r="P19" i="18" s="1"/>
  <c r="E101" i="1"/>
  <c r="E103" i="1" s="1"/>
  <c r="D42" i="22"/>
  <c r="D41" i="22"/>
  <c r="O49" i="4" l="1"/>
  <c r="O41" i="4"/>
  <c r="O43" i="4" s="1"/>
  <c r="O83" i="19" s="1"/>
  <c r="O84" i="19" s="1"/>
  <c r="O85" i="19" s="1"/>
  <c r="F11" i="22"/>
  <c r="E105" i="1"/>
  <c r="E107" i="1"/>
  <c r="E108" i="1" s="1"/>
  <c r="N58" i="9"/>
  <c r="N59" i="9"/>
  <c r="N57" i="9"/>
  <c r="N62" i="9" s="1"/>
  <c r="O19" i="11"/>
  <c r="O17" i="11"/>
  <c r="O11" i="7"/>
  <c r="O32" i="7"/>
  <c r="O19" i="6"/>
  <c r="O44" i="7"/>
  <c r="O45" i="7" s="1"/>
  <c r="O29" i="6"/>
  <c r="O42" i="7"/>
  <c r="O43" i="7" s="1"/>
  <c r="O33" i="7"/>
  <c r="E12" i="2"/>
  <c r="E41" i="2"/>
  <c r="O33" i="10"/>
  <c r="O34" i="10" s="1"/>
  <c r="O18" i="11"/>
  <c r="O28" i="11"/>
  <c r="O29" i="11" s="1"/>
  <c r="O36" i="6"/>
  <c r="O15" i="7"/>
  <c r="O35" i="6"/>
  <c r="P27" i="18"/>
  <c r="O20" i="9"/>
  <c r="O44" i="4"/>
  <c r="O46" i="4" s="1"/>
  <c r="O39" i="9" l="1"/>
  <c r="O53" i="9" s="1"/>
  <c r="O52" i="9"/>
  <c r="O23" i="9"/>
  <c r="E14" i="22"/>
  <c r="E31" i="22" s="1"/>
  <c r="E50" i="22"/>
  <c r="E52" i="22" s="1"/>
  <c r="E54" i="22" s="1"/>
  <c r="E44" i="22"/>
  <c r="O23" i="11"/>
  <c r="O24" i="11" s="1"/>
  <c r="O17" i="10"/>
  <c r="O25" i="7"/>
  <c r="O26" i="7" s="1"/>
  <c r="E42" i="2"/>
  <c r="P26" i="5"/>
  <c r="E106" i="1"/>
  <c r="E80" i="1" s="1"/>
  <c r="E82" i="1" s="1"/>
  <c r="E54" i="1"/>
  <c r="O18" i="7"/>
  <c r="O52" i="7" s="1"/>
  <c r="O17" i="7"/>
  <c r="E16" i="22" s="1"/>
  <c r="O87" i="19"/>
  <c r="O88" i="19"/>
  <c r="E45" i="22"/>
  <c r="O23" i="7"/>
  <c r="O24" i="7" s="1"/>
  <c r="E40" i="2"/>
  <c r="E15" i="22"/>
  <c r="O15" i="10"/>
  <c r="O27" i="7"/>
  <c r="O28" i="7" s="1"/>
  <c r="E44" i="2"/>
  <c r="E18" i="22"/>
  <c r="O21" i="9"/>
  <c r="O50" i="4"/>
  <c r="E27" i="2"/>
  <c r="E33" i="2" s="1"/>
  <c r="E34" i="2" s="1"/>
  <c r="O51" i="4"/>
  <c r="F10" i="22" l="1"/>
  <c r="P38" i="4"/>
  <c r="E49" i="2"/>
  <c r="E51" i="2"/>
  <c r="E48" i="2"/>
  <c r="E50" i="2"/>
  <c r="O18" i="10"/>
  <c r="P21" i="18"/>
  <c r="P22" i="18" s="1"/>
  <c r="P24" i="18" s="1"/>
  <c r="P21" i="11"/>
  <c r="P20" i="11"/>
  <c r="P29" i="5"/>
  <c r="P39" i="5" s="1"/>
  <c r="P41" i="5" s="1"/>
  <c r="Q40" i="5" s="1"/>
  <c r="P23" i="4"/>
  <c r="E34" i="22"/>
  <c r="E33" i="22"/>
  <c r="O27" i="9"/>
  <c r="O30" i="9" s="1"/>
  <c r="O24" i="9"/>
  <c r="O51" i="9" s="1"/>
  <c r="O50" i="9"/>
  <c r="P14" i="12"/>
  <c r="P27" i="12" s="1"/>
  <c r="P53" i="4"/>
  <c r="F77" i="1"/>
  <c r="E83" i="1"/>
  <c r="O16" i="10"/>
  <c r="O26" i="10" s="1"/>
  <c r="E36" i="2"/>
  <c r="O11" i="12"/>
  <c r="O55" i="4"/>
  <c r="O23" i="10" l="1"/>
  <c r="O24" i="10" s="1"/>
  <c r="O25" i="10"/>
  <c r="P52" i="4"/>
  <c r="P33" i="12" s="1"/>
  <c r="P43" i="3"/>
  <c r="P45" i="5"/>
  <c r="P34" i="6" s="1"/>
  <c r="E40" i="22"/>
  <c r="E13" i="22"/>
  <c r="O13" i="10"/>
  <c r="O28" i="12"/>
  <c r="O29" i="12" s="1"/>
  <c r="O32" i="12" s="1"/>
  <c r="O39" i="12"/>
  <c r="O40" i="12"/>
  <c r="O37" i="12"/>
  <c r="O43" i="12" s="1"/>
  <c r="O38" i="12"/>
  <c r="O44" i="12" s="1"/>
  <c r="O41" i="12"/>
  <c r="O23" i="12"/>
  <c r="O24" i="12" s="1"/>
  <c r="O25" i="12" s="1"/>
  <c r="O36" i="12"/>
  <c r="P25" i="4"/>
  <c r="Q27" i="5"/>
  <c r="Q19" i="18" s="1"/>
  <c r="F101" i="1"/>
  <c r="F103" i="1" s="1"/>
  <c r="O65" i="9"/>
  <c r="O31" i="9"/>
  <c r="P41" i="4"/>
  <c r="P43" i="4" s="1"/>
  <c r="P83" i="19" s="1"/>
  <c r="P84" i="19" s="1"/>
  <c r="P85" i="19" s="1"/>
  <c r="P49" i="4"/>
  <c r="P87" i="19" l="1"/>
  <c r="P88" i="19"/>
  <c r="O57" i="9"/>
  <c r="O62" i="9" s="1"/>
  <c r="O59" i="9"/>
  <c r="O58" i="9"/>
  <c r="G11" i="22"/>
  <c r="F105" i="1"/>
  <c r="E42" i="22"/>
  <c r="E41" i="22"/>
  <c r="P20" i="9"/>
  <c r="P44" i="4"/>
  <c r="P46" i="4" s="1"/>
  <c r="F18" i="22"/>
  <c r="P21" i="9"/>
  <c r="F27" i="2"/>
  <c r="F33" i="2" s="1"/>
  <c r="F34" i="2" s="1"/>
  <c r="P50" i="4"/>
  <c r="P51" i="4"/>
  <c r="Q27" i="18"/>
  <c r="P28" i="11"/>
  <c r="P29" i="11" s="1"/>
  <c r="P36" i="6"/>
  <c r="P15" i="7"/>
  <c r="P35" i="6"/>
  <c r="P17" i="11"/>
  <c r="P19" i="11"/>
  <c r="P32" i="7"/>
  <c r="P44" i="7"/>
  <c r="P45" i="7" s="1"/>
  <c r="P42" i="7"/>
  <c r="P43" i="7" s="1"/>
  <c r="P33" i="7"/>
  <c r="P11" i="7"/>
  <c r="P29" i="6"/>
  <c r="P19" i="6"/>
  <c r="F12" i="2"/>
  <c r="F41" i="2"/>
  <c r="P33" i="10"/>
  <c r="P34" i="10" s="1"/>
  <c r="P18" i="11"/>
  <c r="F15" i="22" l="1"/>
  <c r="P15" i="10"/>
  <c r="P27" i="7"/>
  <c r="P28" i="7" s="1"/>
  <c r="F44" i="2"/>
  <c r="P18" i="7"/>
  <c r="P52" i="7" s="1"/>
  <c r="P17" i="7"/>
  <c r="F16" i="22" s="1"/>
  <c r="Q26" i="5"/>
  <c r="F106" i="1"/>
  <c r="F80" i="1" s="1"/>
  <c r="F82" i="1" s="1"/>
  <c r="F45" i="22"/>
  <c r="P23" i="7"/>
  <c r="P24" i="7" s="1"/>
  <c r="F40" i="2"/>
  <c r="F107" i="1"/>
  <c r="F108" i="1" s="1"/>
  <c r="F54" i="1" s="1"/>
  <c r="P11" i="12"/>
  <c r="P55" i="4"/>
  <c r="F36" i="2"/>
  <c r="F14" i="22"/>
  <c r="F31" i="22" s="1"/>
  <c r="F44" i="22"/>
  <c r="F50" i="22"/>
  <c r="F52" i="22" s="1"/>
  <c r="F54" i="22" s="1"/>
  <c r="P23" i="11"/>
  <c r="P24" i="11" s="1"/>
  <c r="P17" i="10"/>
  <c r="P25" i="7"/>
  <c r="P26" i="7" s="1"/>
  <c r="F42" i="2"/>
  <c r="P39" i="9"/>
  <c r="P53" i="9" s="1"/>
  <c r="P52" i="9"/>
  <c r="P23" i="9"/>
  <c r="F40" i="22" l="1"/>
  <c r="F13" i="22"/>
  <c r="P13" i="10"/>
  <c r="G10" i="22"/>
  <c r="Q38" i="4"/>
  <c r="F48" i="2"/>
  <c r="F50" i="2"/>
  <c r="Q21" i="11"/>
  <c r="Q21" i="18"/>
  <c r="Q22" i="18" s="1"/>
  <c r="Q24" i="18" s="1"/>
  <c r="Q20" i="11"/>
  <c r="Q29" i="5"/>
  <c r="Q39" i="5" s="1"/>
  <c r="Q41" i="5" s="1"/>
  <c r="Q23" i="4"/>
  <c r="Q25" i="4" s="1"/>
  <c r="P16" i="10"/>
  <c r="P26" i="10" s="1"/>
  <c r="P28" i="12"/>
  <c r="P29" i="12" s="1"/>
  <c r="P32" i="12" s="1"/>
  <c r="P36" i="12"/>
  <c r="P37" i="12"/>
  <c r="P43" i="12" s="1"/>
  <c r="P38" i="12"/>
  <c r="P44" i="12" s="1"/>
  <c r="P41" i="12"/>
  <c r="P40" i="12"/>
  <c r="P23" i="12"/>
  <c r="P24" i="12" s="1"/>
  <c r="P25" i="12" s="1"/>
  <c r="P39" i="12"/>
  <c r="P27" i="9"/>
  <c r="P30" i="9" s="1"/>
  <c r="P24" i="9"/>
  <c r="P51" i="9" s="1"/>
  <c r="P50" i="9"/>
  <c r="Q14" i="12"/>
  <c r="Q27" i="12" s="1"/>
  <c r="Q53" i="4"/>
  <c r="F83" i="1"/>
  <c r="P18" i="10"/>
  <c r="F51" i="2"/>
  <c r="F49" i="2"/>
  <c r="F34" i="22"/>
  <c r="F33" i="22"/>
  <c r="C91" i="22" l="1"/>
  <c r="E91" i="22" s="1"/>
  <c r="Q52" i="4"/>
  <c r="Q45" i="5"/>
  <c r="Q34" i="6" s="1"/>
  <c r="Q43" i="3"/>
  <c r="Q20" i="9"/>
  <c r="P65" i="9"/>
  <c r="P31" i="9"/>
  <c r="Q49" i="4"/>
  <c r="Q41" i="4"/>
  <c r="Q43" i="4" s="1"/>
  <c r="Q83" i="19" s="1"/>
  <c r="Q84" i="19" s="1"/>
  <c r="Q85" i="19" s="1"/>
  <c r="P23" i="10"/>
  <c r="P24" i="10" s="1"/>
  <c r="P25" i="10"/>
  <c r="F42" i="22"/>
  <c r="F41" i="22"/>
  <c r="Q87" i="19" l="1"/>
  <c r="Q88" i="19"/>
  <c r="P57" i="9"/>
  <c r="P62" i="9" s="1"/>
  <c r="P59" i="9"/>
  <c r="P58" i="9"/>
  <c r="Q19" i="11"/>
  <c r="Q17" i="11"/>
  <c r="Q19" i="6"/>
  <c r="Q44" i="7"/>
  <c r="Q45" i="7" s="1"/>
  <c r="Q29" i="6"/>
  <c r="Q42" i="7"/>
  <c r="Q43" i="7" s="1"/>
  <c r="Q11" i="7"/>
  <c r="Q32" i="7"/>
  <c r="G12" i="2"/>
  <c r="Q33" i="7"/>
  <c r="G41" i="2"/>
  <c r="Q18" i="11"/>
  <c r="Q33" i="10"/>
  <c r="Q34" i="10" s="1"/>
  <c r="B103" i="22"/>
  <c r="C92" i="22"/>
  <c r="E92" i="22" s="1"/>
  <c r="Q33" i="12"/>
  <c r="C89" i="22"/>
  <c r="E89" i="22" s="1"/>
  <c r="G18" i="22"/>
  <c r="Q21" i="9"/>
  <c r="G27" i="2"/>
  <c r="Q50" i="4"/>
  <c r="Q51" i="4"/>
  <c r="Q44" i="4"/>
  <c r="Q46" i="4" s="1"/>
  <c r="Q39" i="9"/>
  <c r="Q53" i="9" s="1"/>
  <c r="Q52" i="9"/>
  <c r="Q23" i="9"/>
  <c r="Q28" i="11"/>
  <c r="Q29" i="11" s="1"/>
  <c r="Q36" i="6"/>
  <c r="Q15" i="7"/>
  <c r="Q35" i="6"/>
  <c r="C86" i="22" s="1"/>
  <c r="E86" i="22" s="1"/>
  <c r="Q27" i="9" l="1"/>
  <c r="Q30" i="9" s="1"/>
  <c r="Q24" i="9"/>
  <c r="Q51" i="9" s="1"/>
  <c r="Q50" i="9"/>
  <c r="C90" i="22"/>
  <c r="E90" i="22" s="1"/>
  <c r="Q11" i="12"/>
  <c r="Q55" i="4"/>
  <c r="C84" i="22"/>
  <c r="E84" i="22" s="1"/>
  <c r="G15" i="22"/>
  <c r="Q15" i="10"/>
  <c r="Q16" i="10" s="1"/>
  <c r="Q26" i="10" s="1"/>
  <c r="Q27" i="7"/>
  <c r="Q28" i="7" s="1"/>
  <c r="G44" i="2"/>
  <c r="G45" i="22"/>
  <c r="B101" i="22"/>
  <c r="C83" i="22"/>
  <c r="E83" i="22" s="1"/>
  <c r="Q23" i="7"/>
  <c r="Q24" i="7" s="1"/>
  <c r="G40" i="2"/>
  <c r="Q18" i="7"/>
  <c r="Q52" i="7" s="1"/>
  <c r="Q17" i="7"/>
  <c r="D90" i="2"/>
  <c r="D91" i="2"/>
  <c r="F91" i="2"/>
  <c r="D88" i="2"/>
  <c r="D89" i="2"/>
  <c r="G90" i="2"/>
  <c r="C91" i="2"/>
  <c r="B88" i="2"/>
  <c r="F88" i="2"/>
  <c r="F89" i="2"/>
  <c r="B92" i="2"/>
  <c r="D87" i="2"/>
  <c r="F90" i="2"/>
  <c r="E91" i="2"/>
  <c r="F92" i="2"/>
  <c r="E89" i="2"/>
  <c r="E92" i="2"/>
  <c r="B90" i="2"/>
  <c r="C90" i="2"/>
  <c r="H90" i="2"/>
  <c r="C89" i="2"/>
  <c r="H89" i="2"/>
  <c r="E88" i="2"/>
  <c r="G88" i="2"/>
  <c r="C87" i="2"/>
  <c r="H91" i="2"/>
  <c r="E90" i="2"/>
  <c r="B91" i="2"/>
  <c r="H87" i="2"/>
  <c r="C88" i="2"/>
  <c r="B89" i="2"/>
  <c r="G91" i="2"/>
  <c r="G92" i="2"/>
  <c r="G87" i="2"/>
  <c r="B87" i="2"/>
  <c r="G89" i="2"/>
  <c r="F87" i="2"/>
  <c r="H92" i="2"/>
  <c r="H88" i="2"/>
  <c r="D92" i="2"/>
  <c r="E87" i="2"/>
  <c r="C92" i="2"/>
  <c r="G33" i="2"/>
  <c r="G34" i="2" s="1"/>
  <c r="G36" i="2" s="1"/>
  <c r="C82" i="22"/>
  <c r="E82" i="22" s="1"/>
  <c r="B102" i="22"/>
  <c r="G14" i="22"/>
  <c r="G31" i="22" s="1"/>
  <c r="G44" i="22"/>
  <c r="B61" i="22"/>
  <c r="G50" i="22"/>
  <c r="G52" i="22" s="1"/>
  <c r="G54" i="22" s="1"/>
  <c r="Q17" i="10"/>
  <c r="Q18" i="10" s="1"/>
  <c r="Q23" i="11"/>
  <c r="Q24" i="11" s="1"/>
  <c r="Q25" i="7"/>
  <c r="Q26" i="7" s="1"/>
  <c r="G42" i="2"/>
  <c r="G51" i="2" l="1"/>
  <c r="G49" i="2"/>
  <c r="Q23" i="10"/>
  <c r="Q24" i="10" s="1"/>
  <c r="Q25" i="10"/>
  <c r="B62" i="22"/>
  <c r="G40" i="22"/>
  <c r="G13" i="22"/>
  <c r="C87" i="22"/>
  <c r="E87" i="22" s="1"/>
  <c r="Q13" i="10"/>
  <c r="Q23" i="12"/>
  <c r="Q24" i="12" s="1"/>
  <c r="Q25" i="12" s="1"/>
  <c r="Q28" i="12"/>
  <c r="Q29" i="12" s="1"/>
  <c r="Q32" i="12" s="1"/>
  <c r="Q36" i="12"/>
  <c r="Q38" i="12"/>
  <c r="Q44" i="12" s="1"/>
  <c r="Q39" i="12"/>
  <c r="Q40" i="12"/>
  <c r="Q37" i="12"/>
  <c r="Q43" i="12" s="1"/>
  <c r="Q41" i="12"/>
  <c r="G33" i="22"/>
  <c r="G34" i="22" s="1"/>
  <c r="G16" i="22"/>
  <c r="B63" i="22"/>
  <c r="G50" i="2"/>
  <c r="H60" i="2"/>
  <c r="G48" i="2"/>
  <c r="Q31" i="9"/>
  <c r="Q65" i="9"/>
  <c r="Q57" i="9" l="1"/>
  <c r="Q62" i="9" s="1"/>
  <c r="Q58" i="9"/>
  <c r="Q59" i="9"/>
  <c r="G42" i="22"/>
  <c r="G4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0" authorId="0" shapeId="0" xr:uid="{00000000-0006-0000-0000-000001000000}">
      <text>
        <r>
          <rPr>
            <sz val="10"/>
            <rFont val="Arial"/>
            <family val="2"/>
          </rPr>
          <t>Reduced: BEI new leasing spreads -5% early 2026, guided to improve</t>
        </r>
      </text>
    </comment>
    <comment ref="B17" authorId="0" shapeId="0" xr:uid="{00000000-0006-0000-0000-000002000000}">
      <text>
        <r>
          <rPr>
            <sz val="10"/>
            <rFont val="Arial"/>
            <family val="2"/>
          </rPr>
          <t>Reduced: BEI cost optimization + guided 2-4% expense growth</t>
        </r>
      </text>
    </comment>
    <comment ref="B33" authorId="0" shapeId="0" xr:uid="{00000000-0006-0000-0000-000003000000}">
      <text>
        <r>
          <rPr>
            <sz val="10"/>
            <rFont val="Arial"/>
            <family val="2"/>
          </rPr>
          <t>Rebased to match ATB/BEI actual G&amp;A run rate (~7.9% of rev)</t>
        </r>
      </text>
    </comment>
    <comment ref="B40" authorId="0" shapeId="0" xr:uid="{00000000-0006-0000-0000-000004000000}">
      <text>
        <r>
          <rPr>
            <sz val="10"/>
            <rFont val="Arial"/>
            <family val="2"/>
          </rPr>
          <t>BEI disclosed: locked 2026 maturities at 3.72%</t>
        </r>
      </text>
    </comment>
    <comment ref="B43" authorId="0" shapeId="0" xr:uid="{00000000-0006-0000-0000-000005000000}">
      <text>
        <r>
          <rPr>
            <sz val="10"/>
            <rFont val="Arial"/>
            <family val="2"/>
          </rPr>
          <t>Zeroed: was $80M placeholder. Refi savings captured in rate assumptions</t>
        </r>
      </text>
    </comment>
    <comment ref="B44" authorId="0" shapeId="0" xr:uid="{00000000-0006-0000-0000-000006000000}">
      <text>
        <r>
          <rPr>
            <sz val="10"/>
            <rFont val="Arial"/>
            <family val="2"/>
          </rPr>
          <t>Increased to reflect BEI refi at 3.72% blending into book</t>
        </r>
      </text>
    </comment>
    <comment ref="B77" authorId="0" shapeId="0" xr:uid="{00000000-0006-0000-0000-000007000000}">
      <text>
        <r>
          <rPr>
            <sz val="10"/>
            <rFont val="Arial"/>
            <family val="2"/>
          </rPr>
          <t>Updated to match ATB/BEI FY2025 basic units (49.1M)</t>
        </r>
      </text>
    </comment>
    <comment ref="B79" authorId="0" shapeId="0" xr:uid="{00000000-0006-0000-0000-000008000000}">
      <text>
        <r>
          <rPr>
            <sz val="10"/>
            <rFont val="Arial"/>
            <family val="2"/>
          </rPr>
          <t>BEI announced ~11% dist increase with Q4/25 results → $1.80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M13" authorId="0" shapeId="0" xr:uid="{00000000-0006-0000-0B00-000001000000}">
      <text>
        <r>
          <rPr>
            <sz val="10"/>
            <rFont val="Arial"/>
            <family val="2"/>
          </rPr>
          <t>Projected market price (conservative appreciation)</t>
        </r>
      </text>
    </comment>
  </commentList>
</comments>
</file>

<file path=xl/sharedStrings.xml><?xml version="1.0" encoding="utf-8"?>
<sst xmlns="http://schemas.openxmlformats.org/spreadsheetml/2006/main" count="1388" uniqueCount="922">
  <si>
    <t>Boardwalk Real Estate Investment Trust</t>
  </si>
  <si>
    <t>5-Year Proforma Assumptions</t>
  </si>
  <si>
    <t>Toggle yellow cells to change projections | All formulas throughout model link here</t>
  </si>
  <si>
    <t>FY2026E</t>
  </si>
  <si>
    <t>FY2027E</t>
  </si>
  <si>
    <t>FY2028E</t>
  </si>
  <si>
    <t>FY2029E</t>
  </si>
  <si>
    <t>FY2030E</t>
  </si>
  <si>
    <t>SAME-STORE REVENUE ASSUMPTIONS</t>
  </si>
  <si>
    <t>SS Revenue Growth (%)</t>
  </si>
  <si>
    <t>Blended: turnover × MTM + (1−turnover) × renewal</t>
  </si>
  <si>
    <t xml:space="preserve">  Turnover Rate (%)</t>
  </si>
  <si>
    <t>BW turnover ~30%</t>
  </si>
  <si>
    <t xml:space="preserve">  Mark-to-Market Spread (%)</t>
  </si>
  <si>
    <t>Dec 2025: $33.4M annualized MTM</t>
  </si>
  <si>
    <t xml:space="preserve">  Renewal Growth (%)</t>
  </si>
  <si>
    <t>Typically 2-4% per annum</t>
  </si>
  <si>
    <t xml:space="preserve">  Implied SS Rev Growth (check)</t>
  </si>
  <si>
    <t>Occupancy (%)</t>
  </si>
  <si>
    <t>FY2025: 98.1%</t>
  </si>
  <si>
    <t>Avg Monthly Rent ($)</t>
  </si>
  <si>
    <t>FY2025: $1,590</t>
  </si>
  <si>
    <t>SAME-STORE EXPENSE ASSUMPTIONS</t>
  </si>
  <si>
    <t>Operating Expense Growth (%)</t>
  </si>
  <si>
    <t>FY2025: $115,000K</t>
  </si>
  <si>
    <t>Utility &amp; Fuel Growth (%)</t>
  </si>
  <si>
    <t>FY2025: $55,200K</t>
  </si>
  <si>
    <t>Property Tax Growth (%)</t>
  </si>
  <si>
    <t>FY2025: $58,062K</t>
  </si>
  <si>
    <t>Blended SS Opex Growth (%)</t>
  </si>
  <si>
    <t>ACQUISITIONS &amp; DISPOSITIONS</t>
  </si>
  <si>
    <t>Acquisition Volume ($000s)</t>
  </si>
  <si>
    <t>Conservative: zero acq</t>
  </si>
  <si>
    <t>Acquisition Cap Rate (%)</t>
  </si>
  <si>
    <t>Acquisition NOI Contribution ($000s)</t>
  </si>
  <si>
    <t>Prior Year Acq Full-Year NOI ($000s)</t>
  </si>
  <si>
    <t>Disposition Volume ($000s)</t>
  </si>
  <si>
    <t>FY2025: ~$35M</t>
  </si>
  <si>
    <t>Disposition Cap Rate (%)</t>
  </si>
  <si>
    <t>Disposition NOI Lost ($000s)</t>
  </si>
  <si>
    <t>Development NOI Additions ($000s)</t>
  </si>
  <si>
    <t>Pipeline completions</t>
  </si>
  <si>
    <t>G&amp;A AND OTHER</t>
  </si>
  <si>
    <t>G&amp;A as % of Total Revenue</t>
  </si>
  <si>
    <t>FY2025: 7.1%</t>
  </si>
  <si>
    <t>LP B Distribution ($000s)</t>
  </si>
  <si>
    <t>FY2025: $4,200K</t>
  </si>
  <si>
    <t>DEBT &amp; INTEREST ASSUMPTIONS</t>
  </si>
  <si>
    <t>Mortgage Principal — BoY ($000s)</t>
  </si>
  <si>
    <t>Maturing Principal ($000s)</t>
  </si>
  <si>
    <t>From Debt Maturity schedule</t>
  </si>
  <si>
    <t>Expiring WA Rate on Maturities (%)</t>
  </si>
  <si>
    <t>Older vintage low-rate debt</t>
  </si>
  <si>
    <t>Refinancing Rate (%)</t>
  </si>
  <si>
    <t>Market rate at renewal</t>
  </si>
  <si>
    <t>Acquisition LTV (%)</t>
  </si>
  <si>
    <t>FY2025: $78,641K</t>
  </si>
  <si>
    <t>New Mortgage from Acquisitions ($000s)</t>
  </si>
  <si>
    <t>Acq Volume x LTV</t>
  </si>
  <si>
    <t>Scheduled Amortization ($000s)</t>
  </si>
  <si>
    <t>FY2025: $78,641K. ~2%/yr growth on amortizing CMHC book</t>
  </si>
  <si>
    <t>Implied WA Mortgage Rate (%)</t>
  </si>
  <si>
    <t>Incremental Interest on Refi ($000s)</t>
  </si>
  <si>
    <t>Maturing x (Old Rate - New Rate)</t>
  </si>
  <si>
    <t>Blended WA Mortgage Rate (%)</t>
  </si>
  <si>
    <t>Weighted average across maturing + non-maturing book</t>
  </si>
  <si>
    <t>Total Mortgage Interest Expense ($000s)</t>
  </si>
  <si>
    <t>Avg Principal x Blended Rate</t>
  </si>
  <si>
    <t>Mortgage Retired at Disposition ($000s)</t>
  </si>
  <si>
    <t>Dispo Volume x (1 - Net Proceeds pct)</t>
  </si>
  <si>
    <t>CAPITAL EXPENDITURE ASSUMPTIONS</t>
  </si>
  <si>
    <t>Apartment Units (approx)</t>
  </si>
  <si>
    <t>FY2025: 34,576</t>
  </si>
  <si>
    <t>Building Improvements ($000s)</t>
  </si>
  <si>
    <t>Mortgage Principal — EoY ($000s)</t>
  </si>
  <si>
    <t>BoY - Amort + New Acq Debt - Retired at Dispo</t>
  </si>
  <si>
    <t>Credit Facility Balance (from Waterfall) ($000s)</t>
  </si>
  <si>
    <t>R108 cumulative CF draws</t>
  </si>
  <si>
    <t>Capex Rate — NOT USED (legacy placeholder)</t>
  </si>
  <si>
    <t>Development Capex (negated, from Waterfall) ($000s)</t>
  </si>
  <si>
    <t>Maintenance Capex per Unit ($)</t>
  </si>
  <si>
    <t>FY2025 reserve: ~$1,012/unit</t>
  </si>
  <si>
    <t>Total Maintenance Capex ($000s)</t>
  </si>
  <si>
    <t>Development Capex ($000s)</t>
  </si>
  <si>
    <t>FY2025: $41,065K</t>
  </si>
  <si>
    <t>UNIT COUNT &amp; DISTRIBUTIONS</t>
  </si>
  <si>
    <t>Turnover Rate (duplicate of R9) — NOT trust units</t>
  </si>
  <si>
    <t>Suite Reno Units (= Apt Units × Turnover Rate)</t>
  </si>
  <si>
    <t>FY2025: 4,200</t>
  </si>
  <si>
    <t>Building Improvements per Suite ($)</t>
  </si>
  <si>
    <t>FY2025: 898 units</t>
  </si>
  <si>
    <t>Suite Reno Cost per Suite ($000s) — legacy</t>
  </si>
  <si>
    <t>Current market ~$62</t>
  </si>
  <si>
    <t>Total Units × Reno Cost factor</t>
  </si>
  <si>
    <t>FY2025: $1.60</t>
  </si>
  <si>
    <t>Internal Capital per Suite ($)</t>
  </si>
  <si>
    <t>Other Capex per Suite ($)</t>
  </si>
  <si>
    <t>Suite Renovation Capex ($000s)</t>
  </si>
  <si>
    <t>Internal Capital Capex ($000s)</t>
  </si>
  <si>
    <t>Other Capex ($000s)</t>
  </si>
  <si>
    <t>For NAV/IP calculation</t>
  </si>
  <si>
    <t>Total Existing Portfolio Capex ($000s)</t>
  </si>
  <si>
    <t>Derived: (NOI/cap) - prior IP - capex - dev + dispo</t>
  </si>
  <si>
    <t>Maint Capex per Suite ($)</t>
  </si>
  <si>
    <t>FY2025: $1,012/unit actual. ~$1,050-1,150 projected</t>
  </si>
  <si>
    <t>Maint Capex per Suite x Apartment Units / 1000</t>
  </si>
  <si>
    <t>BALANCE SHEET &amp; VALUATION ASSUMPTIONS</t>
  </si>
  <si>
    <t>Cash &amp; Equivalents ($000s)</t>
  </si>
  <si>
    <t>FY2025: $45,000K</t>
  </si>
  <si>
    <t>Other Current Assets ($000s)</t>
  </si>
  <si>
    <t>Distribution per Unit ($)</t>
  </si>
  <si>
    <t>Buyback Units from Surplus (000s)</t>
  </si>
  <si>
    <t>Buyback Price per Unit ($)</t>
  </si>
  <si>
    <t>FY2025: avg ~$64.95</t>
  </si>
  <si>
    <t>Trust Units Outstanding EoY (000s)</t>
  </si>
  <si>
    <t>WA Diluted Units (000s)</t>
  </si>
  <si>
    <t>VALUATION &amp; FV ASSUMPTIONS</t>
  </si>
  <si>
    <t>Uses BoY units for distributions — no circular reference</t>
  </si>
  <si>
    <t>Blended Valuation Cap Rate (%)</t>
  </si>
  <si>
    <t>Entry Price per Unit ($) — for Return Profile</t>
  </si>
  <si>
    <t>FV Adjustment — IP ($000s)</t>
  </si>
  <si>
    <t>Cash &amp; Equivalents BoY ($000s)</t>
  </si>
  <si>
    <t>Other Current Assets BoY ($000s)</t>
  </si>
  <si>
    <t>BoY units × dist/unit. Avoids circularity</t>
  </si>
  <si>
    <t>LP B Units FV ($000s)</t>
  </si>
  <si>
    <t>Other Non-Current Liab ($000s)</t>
  </si>
  <si>
    <t>AP &amp; Accrued Liab ($000s)</t>
  </si>
  <si>
    <t>Working Capital Change ($000s)</t>
  </si>
  <si>
    <t>CASH SURPLUS WATERFALL ($000s)</t>
  </si>
  <si>
    <t>Cash from Operating Activities</t>
  </si>
  <si>
    <t>Plus: Disposition Net Proceeds</t>
  </si>
  <si>
    <t>Less: Acquisitions (equity portion)</t>
  </si>
  <si>
    <t>Less: Existing Portfolio Capex</t>
  </si>
  <si>
    <t>Less: Development Capex</t>
  </si>
  <si>
    <t>Less: Mortgage Amortization</t>
  </si>
  <si>
    <t>Less: Cash Distributions (BoY units)</t>
  </si>
  <si>
    <t>Less: Deferred Financing</t>
  </si>
  <si>
    <t>Cash Surplus / (Deficit) Before Buybacks</t>
  </si>
  <si>
    <t>% of Surplus Cash → Buybacks</t>
  </si>
  <si>
    <t>Buyback Allocation ($000s)</t>
  </si>
  <si>
    <t>Buyback Units (000s)</t>
  </si>
  <si>
    <t>CF Paydown / (Draw) ($000s)</t>
  </si>
  <si>
    <t>Credit Facility Balance EoY ($000s)</t>
  </si>
  <si>
    <t>MODEL FIX LOG</t>
  </si>
  <si>
    <t>1. Added scheduled amortization ($80-88K/yr) to R43 — was $0, should be ~$78K+ based on FY2025 actual</t>
  </si>
  <si>
    <t>2. Linked R51 (Apt Units) to R61 suite count formulas — Ops tab was showing 0</t>
  </si>
  <si>
    <t>3. Separated market price from maint capex/suite — B73 is maint capex, Implied Cap gets separate prices</t>
  </si>
  <si>
    <t>4. Fixed Capex Detail R9-R15 projections — were pulling mortgage/CF/LP B values</t>
  </si>
  <si>
    <t>5. Fixed all mislabeled rows (R41-R93) — labels now match actual formula content</t>
  </si>
  <si>
    <t>6. Fixed CFS R44 (Interest Paid) — was summing mortgage int + dev capex + LP B</t>
  </si>
  <si>
    <t>7. Added SK/ON/QC geographic NOI projections and suite counts in Ops tab</t>
  </si>
  <si>
    <t>8. Fixed Implied Cap projected units to use trust unit count from R82</t>
  </si>
  <si>
    <t>5-Year Return Profile &amp; IRR Analysis</t>
  </si>
  <si>
    <t>CAD $000s | To be expanded in next iteration</t>
  </si>
  <si>
    <t>Entry
FY2025A</t>
  </si>
  <si>
    <t>Exit /
Terminal</t>
  </si>
  <si>
    <t>ENTRY ASSUMPTIONS</t>
  </si>
  <si>
    <t>Premium/discount to NAV</t>
  </si>
  <si>
    <t>Entry Price per Unit ($)</t>
  </si>
  <si>
    <t>Toggle to model different entry points</t>
  </si>
  <si>
    <t>Units Outstanding (000s)</t>
  </si>
  <si>
    <t>Entry Market Cap ($000s)</t>
  </si>
  <si>
    <t>SECTION 1: NET ASSET VALUE BUILD-UP</t>
  </si>
  <si>
    <t>Valuation Cap Rate — Toggle</t>
  </si>
  <si>
    <t xml:space="preserve">  Apartment Cap Rate (%)</t>
  </si>
  <si>
    <t>NOI ($000s)</t>
  </si>
  <si>
    <t>Gross Asset Value ($000s)</t>
  </si>
  <si>
    <t>NAV Bridge — Liabilities ($000s)</t>
  </si>
  <si>
    <t xml:space="preserve">  Total Debt</t>
  </si>
  <si>
    <t xml:space="preserve">  LP B Units (FV)</t>
  </si>
  <si>
    <t xml:space="preserve">  Other Net Liabilities</t>
  </si>
  <si>
    <t>Net Asset Value ($000s)</t>
  </si>
  <si>
    <t>NAV per Unit ($)</t>
  </si>
  <si>
    <t>Discount to NAV (%)</t>
  </si>
  <si>
    <t>NAV Growth</t>
  </si>
  <si>
    <t>NOI Growth</t>
  </si>
  <si>
    <t>SECTION 2: CASH FLOW BUILD — PER UNIT ($)</t>
  </si>
  <si>
    <t>FFO per Unit</t>
  </si>
  <si>
    <t>Less: Maintenance Capex per Unit</t>
  </si>
  <si>
    <t>AFFO per Unit</t>
  </si>
  <si>
    <t>CFS-FCF per Unit (actual capex)</t>
  </si>
  <si>
    <t>Distributions per Unit ($)</t>
  </si>
  <si>
    <t>AFFO Payout Ratio (%)</t>
  </si>
  <si>
    <t>CFS-FCF Payout Ratio (%)</t>
  </si>
  <si>
    <t>AFFO minus Distributions per Unit</t>
  </si>
  <si>
    <t>CFS-FCF minus Distributions per Unit</t>
  </si>
  <si>
    <t>SECTION 3: TOTAL RETURN &amp; IRR</t>
  </si>
  <si>
    <t>Exit Assumptions — Toggle</t>
  </si>
  <si>
    <t xml:space="preserve">  Exit Cap Rate (%)</t>
  </si>
  <si>
    <t xml:space="preserve">  Exit P/AFFO Multiple</t>
  </si>
  <si>
    <t xml:space="preserve">  Exit Method</t>
  </si>
  <si>
    <t>NAV</t>
  </si>
  <si>
    <t>Exit Value per Unit ($)</t>
  </si>
  <si>
    <t xml:space="preserve">  Via P/AFFO Multiple</t>
  </si>
  <si>
    <t xml:space="preserve">  Via NAV (cap rate on NTM NOI)</t>
  </si>
  <si>
    <t xml:space="preserve">  Selected Exit Value per Unit</t>
  </si>
  <si>
    <t>INVESTOR CASH FLOW TIMELINE</t>
  </si>
  <si>
    <t xml:space="preserve">  Year</t>
  </si>
  <si>
    <t xml:space="preserve">  Entry Cost per Unit ($)</t>
  </si>
  <si>
    <t xml:space="preserve">  Annual Distributions Received ($)</t>
  </si>
  <si>
    <t xml:space="preserve">  Exit Proceeds ($)</t>
  </si>
  <si>
    <t xml:space="preserve">  Total Cash Flow per Unit ($)</t>
  </si>
  <si>
    <t>IRR (Internal Rate of Return)</t>
  </si>
  <si>
    <t>RETURN SUMMARY</t>
  </si>
  <si>
    <t>Entry Price per Unit</t>
  </si>
  <si>
    <t>Exit Value per Unit</t>
  </si>
  <si>
    <t>Capital Gain per Unit</t>
  </si>
  <si>
    <t>Capital Gain (%)</t>
  </si>
  <si>
    <t>Cumulative Distributions per Unit</t>
  </si>
  <si>
    <t>Distribution Yield (on entry)</t>
  </si>
  <si>
    <t>Total Return (%)</t>
  </si>
  <si>
    <t>5-Year IRR</t>
  </si>
  <si>
    <t>SECTION 4: SENSITIVITY — IRR AT DIFFERENT EXIT CAP RATES &amp; ENTRY PRICES</t>
  </si>
  <si>
    <t>IRR Sensitivity</t>
  </si>
  <si>
    <t>SECTION 5: DISPOSITION &amp; BUYBACK — CAPITAL DISCIPLINE ILLUSTRATION</t>
  </si>
  <si>
    <t>Sell assets → retire debt → buy back equity at discount to NAV</t>
  </si>
  <si>
    <t>FY2025A</t>
  </si>
  <si>
    <t>Disposition Capital — Sources</t>
  </si>
  <si>
    <t xml:space="preserve">  Gross Proceeds ($000s)</t>
  </si>
  <si>
    <t xml:space="preserve">  Net Proceeds % (toggle)</t>
  </si>
  <si>
    <t>Disposition Capital — Uses</t>
  </si>
  <si>
    <t xml:space="preserve">  1. Mortgage Repaid at Closing ($000s)</t>
  </si>
  <si>
    <t xml:space="preserve">  2. Net to Waterfall ($000s)</t>
  </si>
  <si>
    <t>NOI Impact</t>
  </si>
  <si>
    <t xml:space="preserve">  Total NOI ($000s)</t>
  </si>
  <si>
    <t>NAV Build</t>
  </si>
  <si>
    <t xml:space="preserve">  NAV per Unit ($)</t>
  </si>
  <si>
    <t xml:space="preserve">  NAV/Unit Growth (%)</t>
  </si>
  <si>
    <t>Per-Unit Outputs</t>
  </si>
  <si>
    <t xml:space="preserve">  FFO per Unit ($)</t>
  </si>
  <si>
    <t xml:space="preserve">  AFFO per Unit ($)</t>
  </si>
  <si>
    <t xml:space="preserve">  AFFO Payout Ratio (%)</t>
  </si>
  <si>
    <t xml:space="preserve">  ND/EBITDA</t>
  </si>
  <si>
    <t>HOW DISPO PROCEEDS REACH BUYBACKS — FULL CASH SURPLUS WATERFALL</t>
  </si>
  <si>
    <t>Buyback allocation ≠ net dispo proceeds. Dispo cash enters the operating waterfall.</t>
  </si>
  <si>
    <t>Source</t>
  </si>
  <si>
    <t xml:space="preserve">  Cash from Operating Activities ($000s)</t>
  </si>
  <si>
    <t>CFS tab</t>
  </si>
  <si>
    <t xml:space="preserve">  Plus: Dispo Net to Waterfall ($000s)</t>
  </si>
  <si>
    <t>Gross × Net %</t>
  </si>
  <si>
    <t xml:space="preserve">  Less: Existing Portfolio Capex ($000s)</t>
  </si>
  <si>
    <t>Assumptions</t>
  </si>
  <si>
    <t xml:space="preserve">  Less: Mortgage Amortization ($000s)</t>
  </si>
  <si>
    <t>Scheduled principal</t>
  </si>
  <si>
    <t xml:space="preserve">  Less: Cash Distributions ($000s)</t>
  </si>
  <si>
    <t>BoY units × dist/unit</t>
  </si>
  <si>
    <t xml:space="preserve">  = Cash Surplus Before Buybacks ($000s)</t>
  </si>
  <si>
    <t>Total pool available</t>
  </si>
  <si>
    <t>Consolidated Statement of Income</t>
  </si>
  <si>
    <t>CAD $000s | Blue=hardcoded | Black=formula | Green=cross-sheet link</t>
  </si>
  <si>
    <t>FY2015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</si>
  <si>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</si>
  <si>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</si>
  <si>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</si>
  <si>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</si>
  <si>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</si>
  <si>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</si>
  <si>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</si>
  <si>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</si>
  <si>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FY2024</t>
  </si>
  <si>
    <t>FY2025</t>
  </si>
  <si>
    <t>Revenue</t>
  </si>
  <si>
    <t>Total Property Revenue</t>
  </si>
  <si>
    <t>Property Operating Expenses</t>
  </si>
  <si>
    <t>Operating Expenses</t>
  </si>
  <si>
    <t>Utility and Fuel</t>
  </si>
  <si>
    <t>Property Taxes</t>
  </si>
  <si>
    <t>Total Property Operating Expenses</t>
  </si>
  <si>
    <t>Net Operating Income</t>
  </si>
  <si>
    <t>Below-NOI Items</t>
  </si>
  <si>
    <t>Other Income</t>
  </si>
  <si>
    <t>Financing Costs</t>
  </si>
  <si>
    <t>Depreciation</t>
  </si>
  <si>
    <t>Administration (G&amp;A)</t>
  </si>
  <si>
    <t>FV Adj — Investment Properties</t>
  </si>
  <si>
    <t>FV Adj — LP Class B Units</t>
  </si>
  <si>
    <t>FV Adj — Deferred Unit Compensation</t>
  </si>
  <si>
    <t>Loss on Dispositions</t>
  </si>
  <si>
    <t>Income Before Income Taxes</t>
  </si>
  <si>
    <t>Income Tax</t>
  </si>
  <si>
    <t>Net Income</t>
  </si>
  <si>
    <t>Key Metrics</t>
  </si>
  <si>
    <t>NOI Margin</t>
  </si>
  <si>
    <t>Revenue Growth (YoY)</t>
  </si>
  <si>
    <t>NOI Growth (YoY)</t>
  </si>
  <si>
    <t>G&amp;A as % of Revenue</t>
  </si>
  <si>
    <t>Revenue CAGR (FY2021→FY2025)</t>
  </si>
  <si>
    <t>NOI CAGR (FY2021→FY2025)</t>
  </si>
  <si>
    <t>Unit Count Growth 2015→2025</t>
  </si>
  <si>
    <t>NOI Growth 2015→2025</t>
  </si>
  <si>
    <t>NOI per Unit 2015</t>
  </si>
  <si>
    <t>NOI per Unit 2025</t>
  </si>
  <si>
    <t>NOI per Unit Growth</t>
  </si>
  <si>
    <t>NOI CAGR (FY25→FY30E)</t>
  </si>
  <si>
    <t>Consolidated Balance Sheet</t>
  </si>
  <si>
    <t>As at December 31 | CAD $000s</t>
  </si>
  <si>
    <t>Non-Current Assets</t>
  </si>
  <si>
    <t>Investment Properties (Fair Value)</t>
  </si>
  <si>
    <t>Property and Equipment</t>
  </si>
  <si>
    <t>Other Non-Current Assets</t>
  </si>
  <si>
    <t>Total Non-Current Assets</t>
  </si>
  <si>
    <t>Current Assets</t>
  </si>
  <si>
    <t>Cash and Cash Equivalents</t>
  </si>
  <si>
    <t>Trade and Other Receivables</t>
  </si>
  <si>
    <t>Other Current Assets</t>
  </si>
  <si>
    <t>Total Current Assets</t>
  </si>
  <si>
    <t>TOTAL ASSETS</t>
  </si>
  <si>
    <t>Equity</t>
  </si>
  <si>
    <t>Unitholders' Equity</t>
  </si>
  <si>
    <t>Total Equity</t>
  </si>
  <si>
    <t>Non-Current Liabilities</t>
  </si>
  <si>
    <t>Mortgages &amp; Loans (Non-Current)</t>
  </si>
  <si>
    <t>LP Class B Units (FV)</t>
  </si>
  <si>
    <t>Deferred Unit Compensation</t>
  </si>
  <si>
    <t>Other Non-Current Liabilities</t>
  </si>
  <si>
    <t>Total Non-Current Liabilities</t>
  </si>
  <si>
    <t>Current Liabilities</t>
  </si>
  <si>
    <t>Mortgages &amp; Loans (Current)</t>
  </si>
  <si>
    <t>Credit Facilities</t>
  </si>
  <si>
    <t>AP &amp; Accrued Liabilities</t>
  </si>
  <si>
    <t>Total Current Liabilities</t>
  </si>
  <si>
    <t>TOTAL LIABILITIES</t>
  </si>
  <si>
    <t>TOTAL EQUITY &amp; LIABILITIES</t>
  </si>
  <si>
    <t>Balance Check (Assets − E&amp;L)</t>
  </si>
  <si>
    <t>Key Balance Sheet Metrics</t>
  </si>
  <si>
    <t>Total Interest-Bearing Debt</t>
  </si>
  <si>
    <t>Net Debt</t>
  </si>
  <si>
    <t>Debt-to-GBV</t>
  </si>
  <si>
    <t>IFRS NAV per Unit</t>
  </si>
  <si>
    <t>Total Units Outstanding (000s)</t>
  </si>
  <si>
    <t>EBITDA</t>
  </si>
  <si>
    <t>Net Debt / EBITDA</t>
  </si>
  <si>
    <t>Consolidated Statement of Cash Flows</t>
  </si>
  <si>
    <t>FY Basis | CAD $000s</t>
  </si>
  <si>
    <t>Operating Activities</t>
  </si>
  <si>
    <t>Net Income (from IS)</t>
  </si>
  <si>
    <t>Income Tax Paid</t>
  </si>
  <si>
    <t>Depreciation &amp; Amortization</t>
  </si>
  <si>
    <t>Non-Cash Compensation</t>
  </si>
  <si>
    <t>Other Non-Cash Adjustments</t>
  </si>
  <si>
    <t>Net Change in Working Capital</t>
  </si>
  <si>
    <t>Financing Activities</t>
  </si>
  <si>
    <t>Mortgage Financing (New)</t>
  </si>
  <si>
    <t>Mortgages Repaid (At Maturity)</t>
  </si>
  <si>
    <t>Scheduled Principal Repayments</t>
  </si>
  <si>
    <t>Construction Loans, Net</t>
  </si>
  <si>
    <t>Net Equity Issuance / (Repurchases)</t>
  </si>
  <si>
    <t>Distributions Paid (Cash)</t>
  </si>
  <si>
    <t>Deferred Financing &amp; Other</t>
  </si>
  <si>
    <t>Cash from Financing Activities</t>
  </si>
  <si>
    <t>Investing Activities</t>
  </si>
  <si>
    <t>Acquisitions (Net)</t>
  </si>
  <si>
    <t>Disposition Proceeds</t>
  </si>
  <si>
    <t>Development of Investment Properties</t>
  </si>
  <si>
    <t>Capital Expenditures (Existing)</t>
  </si>
  <si>
    <t>Other Investing</t>
  </si>
  <si>
    <t>Cash from Investing Activities</t>
  </si>
  <si>
    <t>Net Change in Cash</t>
  </si>
  <si>
    <t>Cash, Beginning of Year</t>
  </si>
  <si>
    <t>Cash, End of Year</t>
  </si>
  <si>
    <t>Total Interest Paid (Cash)</t>
  </si>
  <si>
    <t>Total Distributions Declared</t>
  </si>
  <si>
    <t>DRIP Reinvestment (Non-Cash)</t>
  </si>
  <si>
    <t>FFO / AFFO Reconciliation (REALPAC)</t>
  </si>
  <si>
    <t>CAD $000s except per unit</t>
  </si>
  <si>
    <t>FFO Reconciliation</t>
  </si>
  <si>
    <t>+ FV Adj — Investment Properties</t>
  </si>
  <si>
    <t>+ FV Adj — LP Class B Units</t>
  </si>
  <si>
    <t>+ FV Adj — Deferred Unit Comp</t>
  </si>
  <si>
    <t>+ Deferred Tax Expense / (Recovery)</t>
  </si>
  <si>
    <t>+ LP B Distribution (financing)</t>
  </si>
  <si>
    <t>+ Loss on Dispositions</t>
  </si>
  <si>
    <t>+ Depreciation on PP&amp;E</t>
  </si>
  <si>
    <t>Funds from Operations (FFO)</t>
  </si>
  <si>
    <t>FFO per Unit (Diluted)</t>
  </si>
  <si>
    <t>FFO Growth (YoY)</t>
  </si>
  <si>
    <t>AFFO Reconciliation</t>
  </si>
  <si>
    <t>FFO</t>
  </si>
  <si>
    <t>− Maintenance Capital Expenditures</t>
  </si>
  <si>
    <t>Adjusted FFO (AFFO)</t>
  </si>
  <si>
    <t>AFFO per Unit (Diluted)</t>
  </si>
  <si>
    <t>AFFO Growth (YoY)</t>
  </si>
  <si>
    <t>Distribution Sustainability</t>
  </si>
  <si>
    <t>Distribution per Unit (Annual)</t>
  </si>
  <si>
    <t>Total Distributions Declared (from CFS)</t>
  </si>
  <si>
    <t>AFFO Payout Ratio</t>
  </si>
  <si>
    <t>AFFO Coverage Ratio</t>
  </si>
  <si>
    <t>CFS-FCF &amp; Distribution Sustainability</t>
  </si>
  <si>
    <t>Central analytical framework | All formulas linked to CFS &amp; FFO_AFFO tabs</t>
  </si>
  <si>
    <t>CFS-FCF Derivation</t>
  </si>
  <si>
    <t>Cash from Operating Activities (CFS)</t>
  </si>
  <si>
    <t>Less: Existing Portfolio Capex (CFS)</t>
  </si>
  <si>
    <t>CFS-FCF ($000s)</t>
  </si>
  <si>
    <t>CFS-FCF per Unit</t>
  </si>
  <si>
    <t>Distribution Funding Gap</t>
  </si>
  <si>
    <t>Total Distributions Declared ($000s)</t>
  </si>
  <si>
    <t>Distribution per Unit</t>
  </si>
  <si>
    <t>CFS-FCF Payout Ratio</t>
  </si>
  <si>
    <t>Annual Shortfall ($000s)</t>
  </si>
  <si>
    <t>Dual-Track Payout Matrix</t>
  </si>
  <si>
    <t xml:space="preserve">  → FFO Payout</t>
  </si>
  <si>
    <t>AFFO per Unit (mgmt maint reserve)</t>
  </si>
  <si>
    <t xml:space="preserve">  → AFFO Payout</t>
  </si>
  <si>
    <t xml:space="preserve">  → CFS-FCF Payout</t>
  </si>
  <si>
    <t>Capex Classification Gap</t>
  </si>
  <si>
    <t>Maintenance Capex per Unit (mgmt)</t>
  </si>
  <si>
    <t>Total Existing Capex per Unit (CFS)</t>
  </si>
  <si>
    <t>Capex / NOI (Reinvestment Rate)</t>
  </si>
  <si>
    <t>Interest &amp; Debt Service Coverage</t>
  </si>
  <si>
    <t>EBITDA ($000s)</t>
  </si>
  <si>
    <t>Cash Interest ($000s)</t>
  </si>
  <si>
    <t>Interest Coverage Ratio (EBITDA/Interest)</t>
  </si>
  <si>
    <t>RF-AFFO (conservative: $1,500/unit)</t>
  </si>
  <si>
    <t xml:space="preserve">  → Payout</t>
  </si>
  <si>
    <t>RF-AFFO (high: $2,000/unit)</t>
  </si>
  <si>
    <t>Normalized Adjusted EBITDA ($000s)</t>
  </si>
  <si>
    <t>Scheduled Principal Repayments ($000s)</t>
  </si>
  <si>
    <t>Total Debt Service ($000s)</t>
  </si>
  <si>
    <t>Debt Service Coverage Ratio (EBITDA/DS)</t>
  </si>
  <si>
    <t>Cumulative CFS-FCF Shortfall ($000s)</t>
  </si>
  <si>
    <t>Operating Metrics Dashboard</t>
  </si>
  <si>
    <t>Key operational data from MD&amp;A</t>
  </si>
  <si>
    <t>Portfolio Summary</t>
  </si>
  <si>
    <t>Total Apartment NOI ($000s)</t>
  </si>
  <si>
    <t>Same-Property Performance</t>
  </si>
  <si>
    <t>Same-Property NOI Growth</t>
  </si>
  <si>
    <t>Occupancy &amp; Rents</t>
  </si>
  <si>
    <t>Total Apartment Occupancy</t>
  </si>
  <si>
    <t>Avg Monthly Rent (Portfolio)</t>
  </si>
  <si>
    <t>Leverage &amp; Debt</t>
  </si>
  <si>
    <t>WA Mortgage Interest Rate</t>
  </si>
  <si>
    <t>WA Total Debt Interest Rate</t>
  </si>
  <si>
    <t>Geographic Occupancy by Market</t>
  </si>
  <si>
    <t>Edmonton</t>
  </si>
  <si>
    <t>Calgary</t>
  </si>
  <si>
    <t>Other AB</t>
  </si>
  <si>
    <t>Saskatchewan</t>
  </si>
  <si>
    <t>Ontario</t>
  </si>
  <si>
    <t>Quebec</t>
  </si>
  <si>
    <t>Total Portfolio</t>
  </si>
  <si>
    <t>Geographic Average Rent by Market ($/month)</t>
  </si>
  <si>
    <t>Geographic Suite Count by Market</t>
  </si>
  <si>
    <t>Total</t>
  </si>
  <si>
    <t>Geographic Same-Store NOI by Market ($000s)</t>
  </si>
  <si>
    <t>Total Apartment NOI (check)</t>
  </si>
  <si>
    <t>Retention &amp; Lease Spreads</t>
  </si>
  <si>
    <t>Blended Lease Spread</t>
  </si>
  <si>
    <t>Mark-to-Market ($000s annualized)</t>
  </si>
  <si>
    <t>Capex Breakdown &amp; Renovation</t>
  </si>
  <si>
    <t>Maintenance Capex per Suite ($)</t>
  </si>
  <si>
    <t>Total Capex per Suite ($)</t>
  </si>
  <si>
    <t>Debt Composition — Fixed vs. Floating</t>
  </si>
  <si>
    <t>% Fixed Rate</t>
  </si>
  <si>
    <t>BW is 100% fixed rate / ~99% CMHC-insured</t>
  </si>
  <si>
    <t>WA Fixed Mortgage Rate</t>
  </si>
  <si>
    <t>WA Years to Maturity</t>
  </si>
  <si>
    <t>Hypothetical Company (no dilution, clean capex)</t>
  </si>
  <si>
    <t>What if BW had run at avg SS NOI growth with stable units?</t>
  </si>
  <si>
    <t>Average SS NOI growth</t>
  </si>
  <si>
    <t>FY2015-2025 average</t>
  </si>
  <si>
    <t>Hypothetical Company — Full Cycle Projection</t>
  </si>
  <si>
    <t>What if BW ran at avg SS NOI growth with stable units &amp; clean capex?</t>
  </si>
  <si>
    <t>NOI discount to BW actual</t>
  </si>
  <si>
    <t>NOI growth</t>
  </si>
  <si>
    <t>G&amp;A growth</t>
  </si>
  <si>
    <t>NOI</t>
  </si>
  <si>
    <t>G&amp;A</t>
  </si>
  <si>
    <t>Interest rate</t>
  </si>
  <si>
    <t>Net debt</t>
  </si>
  <si>
    <t>Payment</t>
  </si>
  <si>
    <t>Interest</t>
  </si>
  <si>
    <t>Capex % of NOI</t>
  </si>
  <si>
    <t>Actual capex</t>
  </si>
  <si>
    <t>CFS FCF</t>
  </si>
  <si>
    <t>Net Debt/EBITDA</t>
  </si>
  <si>
    <t>Cap rate</t>
  </si>
  <si>
    <t>Asset value</t>
  </si>
  <si>
    <t>AFFO yield</t>
  </si>
  <si>
    <t>Return on Invested Capital Analysis</t>
  </si>
  <si>
    <t>Actual IC strips cumulative IFRS FV gains from equity</t>
  </si>
  <si>
    <t>IFRS Invested Capital (as reported)</t>
  </si>
  <si>
    <t>Fair Value Adjustment Tracking</t>
  </si>
  <si>
    <t>Annual FV Adj — IP (from IS/CFS)</t>
  </si>
  <si>
    <t>Cumulative FV Gain on IP</t>
  </si>
  <si>
    <t>INPUT REQUIRED — source from BW AIF (IP cost vs FV)</t>
  </si>
  <si>
    <t>Less: Cash</t>
  </si>
  <si>
    <t>IFRS Invested Capital</t>
  </si>
  <si>
    <t>Average IFRS Invested Capital</t>
  </si>
  <si>
    <t>Actual Invested Capital (cost basis)</t>
  </si>
  <si>
    <t>Plus: Deferred Income Tax</t>
  </si>
  <si>
    <t>Less: Cumulative FV Gain on IP</t>
  </si>
  <si>
    <t>Actual Invested Capital</t>
  </si>
  <si>
    <t>Average Actual Invested Capital</t>
  </si>
  <si>
    <t>Investment Properties — FV vs Cost</t>
  </si>
  <si>
    <t>Less: Cumulative FV Gain</t>
  </si>
  <si>
    <t>Investment Properties (Implied Cost)</t>
  </si>
  <si>
    <t>Average IP (Fair Value)</t>
  </si>
  <si>
    <t>Average IP (Implied Cost)</t>
  </si>
  <si>
    <t>Average Total Equity</t>
  </si>
  <si>
    <t>Return Inputs</t>
  </si>
  <si>
    <t>NOI − G&amp;A</t>
  </si>
  <si>
    <t>AFFO</t>
  </si>
  <si>
    <t>Returns — IFRS Basis</t>
  </si>
  <si>
    <t>NOI / Avg IP (FV) — Implied Cap Rate</t>
  </si>
  <si>
    <t>(NOI−G&amp;A) / Avg IFRS IC</t>
  </si>
  <si>
    <t>FFO / Avg IFRS IC</t>
  </si>
  <si>
    <t>FFO / Avg Equity (FFO ROE)</t>
  </si>
  <si>
    <t>AFFO / Avg Equity (AFFO ROE)</t>
  </si>
  <si>
    <t>Returns — Actual Invested Capital (cost basis)</t>
  </si>
  <si>
    <t>NOI / Avg IP (Cost) — Cost-Basis Cap Rate</t>
  </si>
  <si>
    <t>(NOI−G&amp;A) / Avg Actual IC (True ROIC)</t>
  </si>
  <si>
    <t>FFO / Avg Actual IC</t>
  </si>
  <si>
    <t>AFFO / Avg Actual IC</t>
  </si>
  <si>
    <t>Diagnostic — IFRS Distortion</t>
  </si>
  <si>
    <t>ROIC Spread (Actual vs IFRS), bps</t>
  </si>
  <si>
    <t>Cumulative FV Gain as % of IP (FV)</t>
  </si>
  <si>
    <t>IFRS IC vs Actual IC (% Overstatement)</t>
  </si>
  <si>
    <t>Leverage Amplification Test</t>
  </si>
  <si>
    <t>Expected vs. actual amplification of SS NOI growth into AFFO/unit growth</t>
  </si>
  <si>
    <t>Reference: Amplification Ratio Lookup Table</t>
  </si>
  <si>
    <t>At leverage X, SS NOI growth should amplify by this multiple</t>
  </si>
  <si>
    <t>Expected Amplification Ratio</t>
  </si>
  <si>
    <t>Inputs</t>
  </si>
  <si>
    <t>Net Debt / EBITDA (from BS)</t>
  </si>
  <si>
    <t>SS NOI Growth (from Ops)</t>
  </si>
  <si>
    <t>CFS-FCF/Unit Growth (YoY)</t>
  </si>
  <si>
    <t>AFFO per Unit (co. reported)</t>
  </si>
  <si>
    <t>AFFO/Unit Growth (YoY)</t>
  </si>
  <si>
    <t>Amplification Test</t>
  </si>
  <si>
    <t>Expected AFFO/Unit Growth (SS NOI × ~1.2x)</t>
  </si>
  <si>
    <t>Actual AFFO/Unit Growth</t>
  </si>
  <si>
    <t>Amplification Shortfall (bps)</t>
  </si>
  <si>
    <t>Actual Amplification Ratio</t>
  </si>
  <si>
    <t>CFS-FCF Amplification Ratio</t>
  </si>
  <si>
    <t>Shortfall Decomposition</t>
  </si>
  <si>
    <t>Interest Expense Growth (YoY)</t>
  </si>
  <si>
    <t xml:space="preserve">   Interest drag (int growth − NOI growth)</t>
  </si>
  <si>
    <t>Unit Dilution (YoY)</t>
  </si>
  <si>
    <t xml:space="preserve">   Dilution drag (bps)</t>
  </si>
  <si>
    <t>Capex Intensity (Existing Capex / NOI)</t>
  </si>
  <si>
    <t xml:space="preserve">   Capex intensity vs. 15% Reference</t>
  </si>
  <si>
    <t>Value Leakage Decomposition</t>
  </si>
  <si>
    <t>Where operating growth went — drains consuming NOI achievement</t>
  </si>
  <si>
    <t>DRAIN 1: Interest Expense</t>
  </si>
  <si>
    <t>Cash Interest Expense ($000s)</t>
  </si>
  <si>
    <t>Interest Growth (YoY)</t>
  </si>
  <si>
    <t>Interest CAGR (FY21→FY25)</t>
  </si>
  <si>
    <t>Interest as % of NOI</t>
  </si>
  <si>
    <t>Incremental Interest vs FY2021 ($000s)</t>
  </si>
  <si>
    <t>WA Interest Rate</t>
  </si>
  <si>
    <t>DRAIN 2: Unit Dilution / Accretion</t>
  </si>
  <si>
    <t>Unit Growth (YoY)</t>
  </si>
  <si>
    <t>Cumulative Dilution vs FY2021</t>
  </si>
  <si>
    <t>NCIB Cost ($000s)</t>
  </si>
  <si>
    <t>Net Equity Issuance ($000s)</t>
  </si>
  <si>
    <t>Dilution-Adj AFFO/unit (at FY2021 unit count)</t>
  </si>
  <si>
    <t>Actual AFFO/unit</t>
  </si>
  <si>
    <t>Dilution Cost per Unit</t>
  </si>
  <si>
    <t>DRAIN 3: Unfunded Distribution (CFS-FCF Shortfall)</t>
  </si>
  <si>
    <t>Distributions Declared ($000s)</t>
  </si>
  <si>
    <t>Annual CFS-FCF Shortfall ($000s)</t>
  </si>
  <si>
    <t>Summary: NOI Growth → AFFO/Unit Growth Gap</t>
  </si>
  <si>
    <t>NOI CAGR (FY21→FY25)</t>
  </si>
  <si>
    <t>AFFO/Unit CAGR (FY21→FY25)</t>
  </si>
  <si>
    <t>Annual Conversion Gap (bps)</t>
  </si>
  <si>
    <t>NOI Growth ($000s: FY21→FY25)</t>
  </si>
  <si>
    <t>Incremental Interest ($000s)</t>
  </si>
  <si>
    <t>Interest consumed % of NOI growth</t>
  </si>
  <si>
    <t>Multi-Tier Implied Cap Rate Analysis</t>
  </si>
  <si>
    <t>Four methodologies — from IFRS appraisal to market-implied</t>
  </si>
  <si>
    <t>Investment Properties ($000s)</t>
  </si>
  <si>
    <t>Net Debt ($000s)</t>
  </si>
  <si>
    <t>Non-IP Assets ($000s)</t>
  </si>
  <si>
    <t>Market Price per Unit</t>
  </si>
  <si>
    <t>Tier 1a: IFRS Stated Cap Rate</t>
  </si>
  <si>
    <t>Per Appraisal (from MD&amp;A)</t>
  </si>
  <si>
    <t>Tier 1b: Actual NOI ÷ IFRS IP</t>
  </si>
  <si>
    <t>Implied IFRS Cap Rate</t>
  </si>
  <si>
    <t>Tier 2: NOI ÷ (Equity + Net Debt − Non-IP Assets)</t>
  </si>
  <si>
    <t>Property Enterprise Value</t>
  </si>
  <si>
    <t>Implied Cap Rate</t>
  </si>
  <si>
    <t>Spread: Tier 1b → Tier 2 (bps)</t>
  </si>
  <si>
    <t>Tier 3: Market-Implied Cap Rate</t>
  </si>
  <si>
    <t>Market Capitalization ($000s)</t>
  </si>
  <si>
    <t>Implied Property EV (Mkt Cap + Net Debt − Non-IP)</t>
  </si>
  <si>
    <t>Market-Implied Cap Rate</t>
  </si>
  <si>
    <t>Spread Analysis</t>
  </si>
  <si>
    <t>Spread: Tier 1b → Tier 3 (bps)</t>
  </si>
  <si>
    <t>NAV Discount (Market vs IFRS)</t>
  </si>
  <si>
    <t>Scenario Analysis: What Is Boardwalk Worth?</t>
  </si>
  <si>
    <t>At 5.50% cap rate — Implied Equity/Unit</t>
  </si>
  <si>
    <t>At 5.00% cap rate — Implied Equity/Unit</t>
  </si>
  <si>
    <t>At 4.80% cap rate — Implied Equity/Unit</t>
  </si>
  <si>
    <t>At 4.50% cap rate — Implied Equity/Unit</t>
  </si>
  <si>
    <t>At 4.25% cap rate — Implied Equity/Unit</t>
  </si>
  <si>
    <t>At 4.00% cap rate — Implied Equity/Unit</t>
  </si>
  <si>
    <t>Upside to Market at 5.00% cap</t>
  </si>
  <si>
    <t>Upside to Market at 4.80% cap</t>
  </si>
  <si>
    <t>Cap Rate Sensitivity — Fair Value Impact ($000s)</t>
  </si>
  <si>
    <t>+25 bps cap rate impact on FV</t>
  </si>
  <si>
    <t>-25 bps cap rate impact on FV</t>
  </si>
  <si>
    <t>Appraisal Cap Rates (from MD&amp;A)</t>
  </si>
  <si>
    <t>Apartments — WA</t>
  </si>
  <si>
    <t>Capital Expenditure Detail</t>
  </si>
  <si>
    <t>Existing Portfolio Capex ($000s)</t>
  </si>
  <si>
    <t>Building Improvements</t>
  </si>
  <si>
    <t>Suite Renovations</t>
  </si>
  <si>
    <t>Internal Capital Program</t>
  </si>
  <si>
    <t>Elevators</t>
  </si>
  <si>
    <t>Boilers/Mechanical</t>
  </si>
  <si>
    <t>Appliances</t>
  </si>
  <si>
    <t>Hallway &amp; Common Area</t>
  </si>
  <si>
    <t>Other (equip, parking, etc)</t>
  </si>
  <si>
    <t>Total Apartment Capital Spend</t>
  </si>
  <si>
    <t>Existing Portfolio Capex by Segment ($000s)</t>
  </si>
  <si>
    <t>Apartments (= total, BW is pure apartment)</t>
  </si>
  <si>
    <t>Maintenance vs Value-Enhancing Split</t>
  </si>
  <si>
    <t>Maintenance Capital ($000s)</t>
  </si>
  <si>
    <t>Value-Enhancing Capital ($000s)</t>
  </si>
  <si>
    <t>Maintenance per Suite ($)</t>
  </si>
  <si>
    <t>Capital Recycling Summary</t>
  </si>
  <si>
    <t>Disposition Summary</t>
  </si>
  <si>
    <t>Gross Proceeds ($000s)</t>
  </si>
  <si>
    <t>Loss on Dispositions ($000s)</t>
  </si>
  <si>
    <t>Acquisition Summary</t>
  </si>
  <si>
    <t>Total Acquisition Cost ($000s)</t>
  </si>
  <si>
    <t>NCIB / Unit Buyback</t>
  </si>
  <si>
    <t>Units Repurchased (000s)</t>
  </si>
  <si>
    <t>Total Cost ($000s)</t>
  </si>
  <si>
    <t>Avg Price per Unit ($)</t>
  </si>
  <si>
    <t>Net Capital Recycling ($000s)</t>
  </si>
  <si>
    <t>Dispositions − Acquisitions</t>
  </si>
  <si>
    <t>Net of NCIB</t>
  </si>
  <si>
    <t>Cumulative Capital Allocation</t>
  </si>
  <si>
    <t>Cumulative Acquisitions ($000s)</t>
  </si>
  <si>
    <t>Cumulative Dispositions ($000s)</t>
  </si>
  <si>
    <t>Cumulative NCIB ($000s)</t>
  </si>
  <si>
    <t>Total Capital Returned (Dispo + NCIB)</t>
  </si>
  <si>
    <t>NCIB Discount to NAV</t>
  </si>
  <si>
    <t>Development Pipeline</t>
  </si>
  <si>
    <t>Project Name</t>
  </si>
  <si>
    <t>Location</t>
  </si>
  <si>
    <t>Units</t>
  </si>
  <si>
    <t>Status</t>
  </si>
  <si>
    <t>Expected Completion</t>
  </si>
  <si>
    <t>Brentwood Village Phase 1</t>
  </si>
  <si>
    <t>Calgary, AB</t>
  </si>
  <si>
    <t>Under construction</t>
  </si>
  <si>
    <t>2026</t>
  </si>
  <si>
    <t>Brentwood Village Phase 2</t>
  </si>
  <si>
    <t>Planned</t>
  </si>
  <si>
    <t>2027</t>
  </si>
  <si>
    <t>Brampton JV (50%)</t>
  </si>
  <si>
    <t>Brampton, ON</t>
  </si>
  <si>
    <t>2025</t>
  </si>
  <si>
    <t>Edmonton Development</t>
  </si>
  <si>
    <t>Edmonton, AB</t>
  </si>
  <si>
    <t>Planning</t>
  </si>
  <si>
    <t>2028</t>
  </si>
  <si>
    <t>Development Capex History ($000s)</t>
  </si>
  <si>
    <t>Development Capex — CFS</t>
  </si>
  <si>
    <t>Investment Property Rollforward</t>
  </si>
  <si>
    <t>Beginning Balance</t>
  </si>
  <si>
    <t>Acquisitions</t>
  </si>
  <si>
    <t>Dispositions</t>
  </si>
  <si>
    <t>Capital Expenditures</t>
  </si>
  <si>
    <t>Development Capex</t>
  </si>
  <si>
    <t>Fair Value Adjustments</t>
  </si>
  <si>
    <t>Ending Balance</t>
  </si>
  <si>
    <t>Debt Maturity Profile</t>
  </si>
  <si>
    <t>Total Principal Outstanding</t>
  </si>
  <si>
    <t>WA Mortgage Rate</t>
  </si>
  <si>
    <t>BW is 100% fixed rate</t>
  </si>
  <si>
    <t>Maturity Distribution (% of Total)</t>
  </si>
  <si>
    <t>Year 1 Maturing (%)</t>
  </si>
  <si>
    <t>Scheduled Amort as % of Principal</t>
  </si>
  <si>
    <t>Interest Cost Analysis</t>
  </si>
  <si>
    <t>Total Interest Paid ($000s)</t>
  </si>
  <si>
    <t>Interest / NOI</t>
  </si>
  <si>
    <t>Interest / Principal (effective rate)</t>
  </si>
  <si>
    <t>Interest Savings from Refi ($000s)</t>
  </si>
  <si>
    <t>Forward Maturity Analysis</t>
  </si>
  <si>
    <t>Maturing in Year 1 ($000s)</t>
  </si>
  <si>
    <t>Expiring Rate on Maturities</t>
  </si>
  <si>
    <t>New Rate at Refinancing</t>
  </si>
  <si>
    <t>Rate Gap (bps)</t>
  </si>
  <si>
    <t>Consolidated Sources &amp; Uses of Capital</t>
  </si>
  <si>
    <t>Cumul.</t>
  </si>
  <si>
    <t>SOURCES</t>
  </si>
  <si>
    <t>Net Mortgage Financing</t>
  </si>
  <si>
    <t>Net CF / Construction Draws</t>
  </si>
  <si>
    <t>Total Sources</t>
  </si>
  <si>
    <t>USES</t>
  </si>
  <si>
    <t>Existing Portfolio Capex</t>
  </si>
  <si>
    <t>Development Spend</t>
  </si>
  <si>
    <t>Cash Distributions Paid</t>
  </si>
  <si>
    <t>Deferred Financing Costs</t>
  </si>
  <si>
    <t>Unit Repurchases (NCIB)</t>
  </si>
  <si>
    <t>Total Uses</t>
  </si>
  <si>
    <t>Net Surplus / (Deficit)</t>
  </si>
  <si>
    <t>Capex as % of Sources</t>
  </si>
  <si>
    <t>Distributions as % of Sources</t>
  </si>
  <si>
    <t>NAV, Implied Cap Rate &amp; Asset Recycling Scenario Builder</t>
  </si>
  <si>
    <t>Cap Rate — Toggle</t>
  </si>
  <si>
    <t>Apartment NOI</t>
  </si>
  <si>
    <t>Gross Asset Value</t>
  </si>
  <si>
    <t>NAV Bridge</t>
  </si>
  <si>
    <t>Plus: Non-IP Assets</t>
  </si>
  <si>
    <t>Less: Total Debt</t>
  </si>
  <si>
    <t>Less: LP B Units</t>
  </si>
  <si>
    <t>Less: Other Liabilities</t>
  </si>
  <si>
    <t>Market Price per Unit ($)</t>
  </si>
  <si>
    <t>NAV Discount (%)</t>
  </si>
  <si>
    <t>SECTION 2: BUYBACK ACCRETION ANALYSIS</t>
  </si>
  <si>
    <t>Buyback Discount to NAV</t>
  </si>
  <si>
    <t>NAV acquired per $1 spent</t>
  </si>
  <si>
    <t>→ Every $1 of buyback acquires this much NAV</t>
  </si>
  <si>
    <t>BUYBACK SENSITIVITY — AFFO/Unit Impact</t>
  </si>
  <si>
    <t>If 100% of cash surplus allocated to buybacks:</t>
  </si>
  <si>
    <t>Cash Surplus ($000s)</t>
  </si>
  <si>
    <t>Buyback Units at Market (000s)</t>
  </si>
  <si>
    <t>Resulting Unit Count (000s)</t>
  </si>
  <si>
    <t>Baseline AFFO per Unit ($)</t>
  </si>
  <si>
    <t>SECTION 3: BUYBACK SENSITIVITY TABLE</t>
  </si>
  <si>
    <t>AFFO/Unit at different buyback allocations &amp; cap rates</t>
  </si>
  <si>
    <t>% Surplus → Buybacks</t>
  </si>
  <si>
    <t>0%</t>
  </si>
  <si>
    <t>25%</t>
  </si>
  <si>
    <t>50%</t>
  </si>
  <si>
    <t>75%</t>
  </si>
  <si>
    <t>100%</t>
  </si>
  <si>
    <t>SECTION 4: ASSET RECYCLING SCENARIO</t>
  </si>
  <si>
    <t>Sell $200M at 5.0% cap → retire debt → buy back at market</t>
  </si>
  <si>
    <t>Gross Disposition ($000s)</t>
  </si>
  <si>
    <t>Disposition Cap Rate</t>
  </si>
  <si>
    <t>NOI Lost ($000s)</t>
  </si>
  <si>
    <t>Mortgage Retired at Closing ($000s)</t>
  </si>
  <si>
    <t>Net Proceeds to Buyback ($000s)</t>
  </si>
  <si>
    <t>Interest Saved ($000s)</t>
  </si>
  <si>
    <t>Net FFO Impact ($000s)</t>
  </si>
  <si>
    <t>Pre-Buyback Units (000s)</t>
  </si>
  <si>
    <t>Post-Buyback Units (000s)</t>
  </si>
  <si>
    <t>AFFO Pre ($000s)</t>
  </si>
  <si>
    <t>AFFO Post ($000s)</t>
  </si>
  <si>
    <t>AFFO/Unit Pre ($)</t>
  </si>
  <si>
    <t>AFFO/Unit Post ($)</t>
  </si>
  <si>
    <t>Per-Unit Accretion ($)</t>
  </si>
  <si>
    <t>Per-Unit Accretion (%)</t>
  </si>
  <si>
    <t>SECTION 5: FULL NAV TIME SERIES</t>
  </si>
  <si>
    <t>Cap Rate Toggle</t>
  </si>
  <si>
    <t>Plus: Non-IP Assets ($000s)</t>
  </si>
  <si>
    <t>Less: Total Liabilities ($000s)</t>
  </si>
  <si>
    <t>NAV Growth (YoY)</t>
  </si>
  <si>
    <t>NAV CAGR 2015-2025</t>
  </si>
  <si>
    <t>NAV CAGR 2021-2025</t>
  </si>
  <si>
    <t>Private Buyer Return Profile</t>
  </si>
  <si>
    <t>ASSUMPTIONS — Toggle Yellow Cells</t>
  </si>
  <si>
    <t>Toggle: ~20% premium to market</t>
  </si>
  <si>
    <t>SS NOI Growth Rate</t>
  </si>
  <si>
    <t>Conservative; BW 10yr avg ~4.1%</t>
  </si>
  <si>
    <t>G&amp;A Growth Rate</t>
  </si>
  <si>
    <t>Assumed = NOI growth</t>
  </si>
  <si>
    <t>WA Interest Rate (held constant)</t>
  </si>
  <si>
    <t>Source: Ops tab</t>
  </si>
  <si>
    <t>Exit Cap Rate</t>
  </si>
  <si>
    <t>Per NAV tab assumption</t>
  </si>
  <si>
    <t>Hold Period (years)</t>
  </si>
  <si>
    <t>ENTRY METRICS</t>
  </si>
  <si>
    <t>Market Cap ($000s)</t>
  </si>
  <si>
    <t>Plus: Net Debt ($000s)</t>
  </si>
  <si>
    <t>Less: Non-IP Assets ($000s)</t>
  </si>
  <si>
    <t>Implied Property EV ($000s)</t>
  </si>
  <si>
    <t>Implied Going-In Cap Rate</t>
  </si>
  <si>
    <t>5-YEAR PROJECTION</t>
  </si>
  <si>
    <t>G&amp;A ($000s)</t>
  </si>
  <si>
    <t>Interest ($000s)</t>
  </si>
  <si>
    <t>FFO ($000s)</t>
  </si>
  <si>
    <t>Capex ($000s)</t>
  </si>
  <si>
    <t>EXIT VALUATION</t>
  </si>
  <si>
    <t>Year 5 Forward NOI ($000s)</t>
  </si>
  <si>
    <t>Exit Property Value ($000s)</t>
  </si>
  <si>
    <t>Less: Debt at Exit ($000s)</t>
  </si>
  <si>
    <t>Equity Value at Exit ($000s)</t>
  </si>
  <si>
    <t>Exit Equity per Unit ($)</t>
  </si>
  <si>
    <t>PRIVATE BUYER IRR</t>
  </si>
  <si>
    <t>Entry equity ($000s)</t>
  </si>
  <si>
    <t>Annual FCF to equity ($000s)</t>
  </si>
  <si>
    <t>Exit equity ($000s)</t>
  </si>
  <si>
    <t>Total cash flow ($000s)</t>
  </si>
  <si>
    <t>Levered IRR</t>
  </si>
  <si>
    <t>ENTRY PRICE SENSITIVITY — LEVERED IRR</t>
  </si>
  <si>
    <t>DEBT STRUCTURE AT ENTRY</t>
  </si>
  <si>
    <t>Total Debt ($000s)</t>
  </si>
  <si>
    <t>Debt / Property EV</t>
  </si>
  <si>
    <t>Equity / Property EV</t>
  </si>
  <si>
    <t>Interest Coverage (NOI/Interest)</t>
  </si>
  <si>
    <t>YEAR-BY-YEAR PER-UNIT METRICS</t>
  </si>
  <si>
    <t>NOI per Unit ($)</t>
  </si>
  <si>
    <t>FFO per Unit ($)</t>
  </si>
  <si>
    <t>CFS-FCF per Unit ($)</t>
  </si>
  <si>
    <t>CASH-ON-CASH RETURN</t>
  </si>
  <si>
    <t>Total Equity Invested ($000s)</t>
  </si>
  <si>
    <t>Annual CFS-FCF ($000s)</t>
  </si>
  <si>
    <t>Cash-on-Cash Yield</t>
  </si>
  <si>
    <t>Cumulative Cash Returned ($000s)</t>
  </si>
  <si>
    <t>Cumulative as % of Equity</t>
  </si>
  <si>
    <t>Entry Equity per Unit ($)</t>
  </si>
  <si>
    <t>Capital Gain per Unit ($)</t>
  </si>
  <si>
    <t>Cumulative FCF per Unit ($)</t>
  </si>
  <si>
    <t>Total Return per Unit ($)</t>
  </si>
  <si>
    <t>5-Year Levered IRR</t>
  </si>
  <si>
    <t>Leverage Amplification — First-Principles Scenario Builder</t>
  </si>
  <si>
    <t>ASSUMPTIONS — Toggle Any Yellow Cell</t>
  </si>
  <si>
    <t>Base NOI ($000s)</t>
  </si>
  <si>
    <t>← Normalized starting NOI</t>
  </si>
  <si>
    <t>Capitalization Rate</t>
  </si>
  <si>
    <t>← Determines property value</t>
  </si>
  <si>
    <t>NOI Growth Rate (annual)</t>
  </si>
  <si>
    <t>← Same-store NOI growth</t>
  </si>
  <si>
    <t>G&amp;A as % of NOI</t>
  </si>
  <si>
    <t>← BW actual: ~7%</t>
  </si>
  <si>
    <t>G&amp;A Growth Rate (annual)</t>
  </si>
  <si>
    <t>← Assume tracks NOI growth</t>
  </si>
  <si>
    <t>← BW FY2025: 3.35%</t>
  </si>
  <si>
    <t>Maint Capex as % of NOI</t>
  </si>
  <si>
    <t>← BW ~8.4%</t>
  </si>
  <si>
    <t>Full Capex as % of NOI (CFS basis)</t>
  </si>
  <si>
    <t>← BW FY2025: ~31.4%</t>
  </si>
  <si>
    <t>Annual Unit Dilution Rate</t>
  </si>
  <si>
    <t>← Negative = buyback accretion</t>
  </si>
  <si>
    <t>Units per $1M equity</t>
  </si>
  <si>
    <t>← Normalization</t>
  </si>
  <si>
    <t>DERIVED FROM ASSUMPTIONS</t>
  </si>
  <si>
    <t>Property Value ($000s)</t>
  </si>
  <si>
    <t>G&amp;A ($000s, Year 1)</t>
  </si>
  <si>
    <t>LEVERAGE SCENARIOS — Year 1 Metrics at Each ND/EBITDA Level</t>
  </si>
  <si>
    <t>Equity ($000s)</t>
  </si>
  <si>
    <t>Interest Expense ($000s)</t>
  </si>
  <si>
    <t>AFFO (mgmt capex) ($000s)</t>
  </si>
  <si>
    <t>YEAR-BY-YEAR PROJECTION AT 10x ND/EBITDA</t>
  </si>
  <si>
    <t>Year 0</t>
  </si>
  <si>
    <t>Year 1</t>
  </si>
  <si>
    <t>Year 2</t>
  </si>
  <si>
    <t>Year 3</t>
  </si>
  <si>
    <t>Year 4</t>
  </si>
  <si>
    <t>Year 5</t>
  </si>
  <si>
    <t>Maint Capex ($000s)</t>
  </si>
  <si>
    <t>AFFO ($000s)</t>
  </si>
  <si>
    <t>Units (000s)</t>
  </si>
  <si>
    <t>AFFO per Unit ($)</t>
  </si>
  <si>
    <t>AFFO/Unit Growth (%)</t>
  </si>
  <si>
    <t>KEY OUTPUTS</t>
  </si>
  <si>
    <t>NOI CAGR</t>
  </si>
  <si>
    <t>AFFO/Unit CAGR</t>
  </si>
  <si>
    <t>Amplification Ratio (AFFO/u CAGR ÷ NOI CAGR)</t>
  </si>
  <si>
    <t>YEAR-BY-YEAR PROJECTION AT 6x ND/EBITDA</t>
  </si>
  <si>
    <t>Maint Capex</t>
  </si>
  <si>
    <t>AFFO/Unit</t>
  </si>
  <si>
    <t>AFFO/u Growth</t>
  </si>
  <si>
    <t>YEAR-BY-YEAR PROJECTION AT 8x ND/EBITDA</t>
  </si>
  <si>
    <t>YEAR-BY-YEAR PROJECTION AT 12x ND/EBITDA</t>
  </si>
  <si>
    <t>AMPLIFICATION RATIO BY LEVERAGE LEVEL</t>
  </si>
  <si>
    <t>ND/EBITDA</t>
  </si>
  <si>
    <t>AFFO/u CAGR</t>
  </si>
  <si>
    <t>Amp Ratio</t>
  </si>
  <si>
    <t>6x</t>
  </si>
  <si>
    <t>8x</t>
  </si>
  <si>
    <t>10x</t>
  </si>
  <si>
    <t>12x</t>
  </si>
  <si>
    <t>Capital Allocation Scenario Analysis</t>
  </si>
  <si>
    <t>SECTION 1: BASE CASE — Status Quo (no buybacks)</t>
  </si>
  <si>
    <t>Credit Facility Balance ($000s)</t>
  </si>
  <si>
    <t>Cash Surplus / (Deficit) ($000s)</t>
  </si>
  <si>
    <t>Total Interest-Bearing Debt ($000s)</t>
  </si>
  <si>
    <t>SECTION 2: AGGRESSIVE BUYBACK SCENARIO</t>
  </si>
  <si>
    <t>Allocate 100% of surplus to NCIB. No CF draws.</t>
  </si>
  <si>
    <t>Cash Surplus Available ($000s)</t>
  </si>
  <si>
    <t>Buyback Price ($)</t>
  </si>
  <si>
    <t>Per-Unit Impact</t>
  </si>
  <si>
    <t>Baseline AFFO/Unit ($)</t>
  </si>
  <si>
    <t>Buyback-Adjusted AFFO/Unit ($)</t>
  </si>
  <si>
    <t>SECTION 3: DELEVERAGING TRAJECTORY</t>
  </si>
  <si>
    <t>Current ND/EBITDA</t>
  </si>
  <si>
    <t>Projected ND/EBITDA</t>
  </si>
  <si>
    <t>Annual Deleveraging (turns)</t>
  </si>
  <si>
    <t>Cumulative Deleveraging from FY2025</t>
  </si>
  <si>
    <t>AFFO/Unit Trajectory</t>
  </si>
  <si>
    <t>FFO/Unit Trajectory</t>
  </si>
  <si>
    <t>SECTION 4: DISTRIBUTION GROWTH SCENARIO</t>
  </si>
  <si>
    <t>What if BW raised distribution to target 50% AFFO payout?</t>
  </si>
  <si>
    <t>Current Dist/Unit ($)</t>
  </si>
  <si>
    <t>Target Payout Ratio</t>
  </si>
  <si>
    <t>Implied Dist/Unit at Target</t>
  </si>
  <si>
    <t>Implied Dist Growth (%)</t>
  </si>
  <si>
    <t>Implied Yield on Entry ($62)</t>
  </si>
  <si>
    <t>SECTION 5: WHAT-IF SCENARIOS</t>
  </si>
  <si>
    <t>Scenario A: Status Quo (base case)</t>
  </si>
  <si>
    <t>AFFO/Unit FY2030E</t>
  </si>
  <si>
    <t>ND/EBITDA FY2030E</t>
  </si>
  <si>
    <t>CFS-FCF Payout FY2030E</t>
  </si>
  <si>
    <t>Scenario B: $200M Dispo + 100% Buyback</t>
  </si>
  <si>
    <t>Implied AFFO/Unit Post-Buyback</t>
  </si>
  <si>
    <t>Per-Unit Accretion</t>
  </si>
  <si>
    <t>Accretion %</t>
  </si>
  <si>
    <t>KEY TAKEAWAY</t>
  </si>
  <si>
    <t>BW trades at deep discount to NAV. Every $1 of buyback acquires &gt;$1 of book value.</t>
  </si>
  <si>
    <t>At current ND/EBITDA, BW has room to accelerate buybacks without breaching covenants.</t>
  </si>
  <si>
    <t>Active NCIB ($58M in FY2025) is already accretive — expanding it amplifies per-unit growth.</t>
  </si>
  <si>
    <t>SECTION 6: SCENARIO COMPARISON TABLE</t>
  </si>
  <si>
    <t>Side-by-side: Status Quo vs Aggressive Buyback vs Distribution Growth</t>
  </si>
  <si>
    <t>Metric</t>
  </si>
  <si>
    <t>FY2030E
Base</t>
  </si>
  <si>
    <t>FY2030E
Buyback</t>
  </si>
  <si>
    <t>Δ Base
vs FY25</t>
  </si>
  <si>
    <t>Total NOI ($000s)</t>
  </si>
  <si>
    <t>Interest Coverage</t>
  </si>
  <si>
    <t>5-YEAR CAGRs (FY2025→FY2030E)</t>
  </si>
  <si>
    <t>Revenue CAGR</t>
  </si>
  <si>
    <t>FFO CAGR</t>
  </si>
  <si>
    <t>AFFO CAGR</t>
  </si>
  <si>
    <t>FFO/Unit CAGR</t>
  </si>
  <si>
    <t>NAV/Unit CAGR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</si>
</sst>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;\(0.0%\);\-"/>
    <numFmt numFmtId="165" formatCode="\$#,##0.00;&quot;($&quot;#,##0.00\);\-"/>
    <numFmt numFmtId="166" formatCode="#,##0;\(#,##0\);\-"/>
    <numFmt numFmtId="167" formatCode="0.00%;\(0.00%\);\-"/>
    <numFmt numFmtId="168" formatCode="0.0\x;\(0.0&quot;x)&quot;;\-"/>
    <numFmt numFmtId="169" formatCode="0.0"/>
  </numFmts>
  <fonts count="16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i/>
      <sz val="8"/>
      <color rgb="FF666666"/>
      <name val="Arial"/>
      <family val="2"/>
      <charset val="1"/>
    </font>
    <font>
      <b/>
      <sz val="9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0000FF"/>
      <name val="Arial"/>
      <family val="2"/>
      <charset val="1"/>
    </font>
    <font>
      <sz val="11"/>
      <color rgb="FF0000FF"/>
      <name val="Cambria"/>
      <family val="1"/>
    </font>
    <font>
      <sz val="11"/>
      <color rgb="FF008000"/>
      <name val="Cambria"/>
      <family val="1"/>
    </font>
    <font>
      <sz val="9"/>
      <color rgb="FF008000"/>
      <name val="Arial"/>
      <family val="2"/>
      <charset val="1"/>
    </font>
    <font>
      <b/>
      <sz val="11"/>
      <color rgb="FFFF0000"/>
      <name val="Cambria"/>
      <family val="1"/>
    </font>
    <font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002060"/>
        <bgColor rgb="FF000080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8" fillId="2" borderId="0" xfId="0" applyFont="1" applyFill="1"/>
    <xf numFmtId="164" fontId="9" fillId="2" borderId="0" xfId="0" applyNumberFormat="1" applyFont="1" applyFill="1"/>
    <xf numFmtId="164" fontId="10" fillId="2" borderId="0" xfId="0" applyNumberFormat="1" applyFont="1" applyFill="1"/>
    <xf numFmtId="165" fontId="9" fillId="2" borderId="0" xfId="0" applyNumberFormat="1" applyFont="1" applyFill="1"/>
    <xf numFmtId="165" fontId="10" fillId="2" borderId="0" xfId="0" applyNumberFormat="1" applyFont="1" applyFill="1"/>
    <xf numFmtId="166" fontId="10" fillId="2" borderId="0" xfId="0" applyNumberFormat="1" applyFont="1" applyFill="1"/>
    <xf numFmtId="166" fontId="9" fillId="2" borderId="0" xfId="0" applyNumberFormat="1" applyFont="1" applyFill="1"/>
    <xf numFmtId="166" fontId="11" fillId="4" borderId="0" xfId="0" applyNumberFormat="1" applyFont="1" applyFill="1"/>
    <xf numFmtId="167" fontId="9" fillId="2" borderId="0" xfId="0" applyNumberFormat="1" applyFont="1" applyFill="1"/>
    <xf numFmtId="166" fontId="12" fillId="2" borderId="0" xfId="0" applyNumberFormat="1" applyFont="1" applyFill="1"/>
    <xf numFmtId="166" fontId="12" fillId="0" borderId="0" xfId="0" applyNumberFormat="1" applyFont="1"/>
    <xf numFmtId="166" fontId="13" fillId="2" borderId="0" xfId="0" applyNumberFormat="1" applyFont="1" applyFill="1"/>
    <xf numFmtId="0" fontId="14" fillId="0" borderId="0" xfId="0" applyFont="1"/>
    <xf numFmtId="0" fontId="5" fillId="3" borderId="0" xfId="0" applyFont="1" applyFill="1" applyAlignment="1">
      <alignment wrapText="1"/>
    </xf>
    <xf numFmtId="165" fontId="13" fillId="2" borderId="0" xfId="0" applyNumberFormat="1" applyFont="1" applyFill="1"/>
    <xf numFmtId="49" fontId="10" fillId="2" borderId="0" xfId="0" applyNumberFormat="1" applyFont="1" applyFill="1"/>
    <xf numFmtId="166" fontId="7" fillId="2" borderId="0" xfId="0" applyNumberFormat="1" applyFont="1" applyFill="1"/>
    <xf numFmtId="167" fontId="7" fillId="2" borderId="0" xfId="0" applyNumberFormat="1" applyFont="1" applyFill="1"/>
    <xf numFmtId="168" fontId="13" fillId="2" borderId="0" xfId="0" applyNumberFormat="1" applyFont="1" applyFill="1"/>
    <xf numFmtId="168" fontId="9" fillId="2" borderId="0" xfId="0" applyNumberFormat="1" applyFont="1" applyFill="1"/>
    <xf numFmtId="164" fontId="13" fillId="2" borderId="0" xfId="0" applyNumberFormat="1" applyFont="1" applyFill="1"/>
    <xf numFmtId="167" fontId="10" fillId="2" borderId="0" xfId="0" applyNumberFormat="1" applyFont="1" applyFill="1"/>
    <xf numFmtId="0" fontId="12" fillId="0" borderId="0" xfId="0" applyFont="1"/>
    <xf numFmtId="0" fontId="11" fillId="0" borderId="0" xfId="0" applyFont="1"/>
    <xf numFmtId="0" fontId="15" fillId="0" borderId="0" xfId="0" applyFont="1"/>
    <xf numFmtId="169" fontId="10" fillId="2" borderId="0" xfId="0" applyNumberFormat="1" applyFont="1" applyFill="1"/>
    <xf numFmtId="167" fontId="13" fillId="2" borderId="0" xfId="0" applyNumberFormat="1" applyFont="1" applyFill="1"/>
    <xf numFmtId="2" fontId="9" fillId="2" borderId="0" xfId="0" applyNumberFormat="1" applyFont="1" applyFill="1"/>
    <xf numFmtId="165" fontId="11" fillId="4" borderId="0" xfId="0" applyNumberFormat="1" applyFont="1" applyFill="1"/>
    <xf numFmtId="166" fontId="15" fillId="2" borderId="0" xfId="0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166" fontId="10" fillId="0" borderId="0" xfId="0" applyNumberFormat="1" applyFont="1"/>
    <xf numFmtId="166" fontId="9" fillId="0" borderId="0" xfId="0" applyNumberFormat="1" applyFont="1"/>
    <xf numFmtId="166" fontId="13" fillId="0" borderId="0" xfId="0" applyNumberFormat="1" applyFont="1"/>
    <xf numFmtId="167" fontId="10" fillId="0" borderId="0" xfId="0" applyNumberFormat="1" applyFont="1"/>
    <xf numFmtId="164" fontId="10" fillId="0" borderId="0" xfId="0" applyNumberFormat="1" applyFont="1"/>
    <xf numFmtId="169" fontId="10" fillId="0" borderId="0" xfId="0" applyNumberFormat="1" applyFont="1"/>
    <xf numFmtId="164" fontId="9" fillId="0" borderId="0" xfId="0" applyNumberFormat="1" applyFont="1"/>
    <xf numFmtId="164" fontId="13" fillId="0" borderId="0" xfId="0" applyNumberFormat="1" applyFont="1"/>
    <xf numFmtId="167" fontId="9" fillId="0" borderId="0" xfId="0" applyNumberFormat="1" applyFont="1"/>
    <xf numFmtId="167" fontId="13" fillId="0" borderId="0" xfId="0" applyNumberFormat="1" applyFont="1"/>
    <xf numFmtId="0" fontId="7" fillId="0" borderId="0" xfId="0" applyFont="1"/>
    <xf numFmtId="164" fontId="10" fillId="4" borderId="0" xfId="0" applyNumberFormat="1" applyFont="1" applyFill="1"/>
    <xf numFmtId="165" fontId="13" fillId="0" borderId="0" xfId="0" applyNumberFormat="1" applyFont="1"/>
    <xf numFmtId="165" fontId="10" fillId="0" borderId="0" xfId="0" applyNumberFormat="1" applyFont="1"/>
    <xf numFmtId="165" fontId="9" fillId="0" borderId="0" xfId="0" applyNumberFormat="1" applyFont="1"/>
    <xf numFmtId="167" fontId="7" fillId="0" borderId="0" xfId="0" applyNumberFormat="1" applyFont="1"/>
    <xf numFmtId="166" fontId="10" fillId="4" borderId="0" xfId="0" applyNumberFormat="1" applyFont="1" applyFill="1"/>
    <xf numFmtId="165" fontId="10" fillId="4" borderId="0" xfId="0" applyNumberFormat="1" applyFont="1" applyFill="1"/>
    <xf numFmtId="166" fontId="7" fillId="0" borderId="0" xfId="0" applyNumberFormat="1" applyFont="1"/>
    <xf numFmtId="168" fontId="9" fillId="0" borderId="0" xfId="0" applyNumberFormat="1" applyFont="1"/>
    <xf numFmtId="2" fontId="9" fillId="0" borderId="0" xfId="0" applyNumberFormat="1" applyFont="1"/>
    <xf numFmtId="168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8"/>
  <sheetViews>
    <sheetView tabSelected="1"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9" ht="15" customHeight="1" x14ac:dyDescent="0.2">
      <c r="A1" s="2" t="s">
        <v>0</v>
      </c>
    </row>
    <row r="2" spans="1:19" ht="15" customHeight="1" x14ac:dyDescent="0.2">
      <c r="A2" s="3" t="s">
        <v>1</v>
      </c>
    </row>
    <row r="3" spans="1:19" ht="15" customHeight="1" x14ac:dyDescent="0.2">
      <c r="A3" s="4" t="s">
        <v>2</v>
      </c>
    </row>
    <row r="5" spans="1:19" ht="15" customHeight="1" x14ac:dyDescent="0.2"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5"/>
      <c r="N5" s="5"/>
      <c r="O5" s="5"/>
      <c r="P5" s="5"/>
      <c r="Q5" s="5"/>
    </row>
    <row r="6" spans="1:19" ht="15" customHeight="1" x14ac:dyDescent="0.2"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</row>
    <row r="7" spans="1:19" ht="15" customHeight="1" x14ac:dyDescent="0.2">
      <c r="A7" s="3" t="s">
        <v>8</v>
      </c>
    </row>
    <row r="8" spans="1:19" ht="15" customHeight="1" x14ac:dyDescent="0.2">
      <c r="A8" s="8" t="s">
        <v>9</v>
      </c>
      <c r="B8" s="9">
        <f>B9*B10+(1-B9)*B11</f>
        <v>3.5999999999999997E-2</v>
      </c>
      <c r="C8" s="9">
        <f>C9*C10+(1-C9)*C11</f>
        <v>3.8999999999999993E-2</v>
      </c>
      <c r="D8" s="9">
        <f>D9*D10+(1-D9)*D11</f>
        <v>3.5999999999999997E-2</v>
      </c>
      <c r="E8" s="9">
        <f>E9*E10+(1-E9)*E11</f>
        <v>3.5999999999999997E-2</v>
      </c>
      <c r="F8" s="9">
        <f>F9*F10+(1-F9)*F11</f>
        <v>3.5999999999999997E-2</v>
      </c>
      <c r="S8" s="4" t="s">
        <v>10</v>
      </c>
    </row>
    <row r="9" spans="1:19" ht="15" customHeight="1" x14ac:dyDescent="0.2">
      <c r="A9" s="8" t="s">
        <v>11</v>
      </c>
      <c r="B9" s="10">
        <v>0.3</v>
      </c>
      <c r="C9" s="10">
        <v>0.3</v>
      </c>
      <c r="D9" s="10">
        <v>0.3</v>
      </c>
      <c r="E9" s="10">
        <v>0.3</v>
      </c>
      <c r="F9" s="10">
        <v>0.3</v>
      </c>
      <c r="S9" s="4" t="s">
        <v>12</v>
      </c>
    </row>
    <row r="10" spans="1:19" ht="15" customHeight="1" x14ac:dyDescent="0.2">
      <c r="A10" s="8" t="s">
        <v>13</v>
      </c>
      <c r="B10" s="10">
        <v>0.05</v>
      </c>
      <c r="C10" s="10">
        <v>0.06</v>
      </c>
      <c r="D10" s="10">
        <v>0.05</v>
      </c>
      <c r="E10" s="10">
        <v>0.05</v>
      </c>
      <c r="F10" s="10">
        <v>0.05</v>
      </c>
      <c r="S10" s="4" t="s">
        <v>14</v>
      </c>
    </row>
    <row r="11" spans="1:19" ht="15" customHeight="1" x14ac:dyDescent="0.2">
      <c r="A11" s="8" t="s">
        <v>15</v>
      </c>
      <c r="B11" s="10">
        <v>0.03</v>
      </c>
      <c r="C11" s="10">
        <v>0.03</v>
      </c>
      <c r="D11" s="10">
        <v>0.03</v>
      </c>
      <c r="E11" s="10">
        <v>0.03</v>
      </c>
      <c r="F11" s="10">
        <v>0.03</v>
      </c>
      <c r="S11" s="4" t="s">
        <v>16</v>
      </c>
    </row>
    <row r="12" spans="1:19" ht="15" customHeight="1" x14ac:dyDescent="0.2">
      <c r="A12" s="8" t="s">
        <v>17</v>
      </c>
      <c r="B12" s="9">
        <f>B9*B10+(1-B9)*B11</f>
        <v>3.5999999999999997E-2</v>
      </c>
      <c r="C12" s="9">
        <f>C9*C10+(1-C9)*C11</f>
        <v>3.8999999999999993E-2</v>
      </c>
      <c r="D12" s="9">
        <f>D9*D10+(1-D9)*D11</f>
        <v>3.5999999999999997E-2</v>
      </c>
      <c r="E12" s="9">
        <f>E9*E10+(1-E9)*E11</f>
        <v>3.5999999999999997E-2</v>
      </c>
      <c r="F12" s="9">
        <f>F9*F10+(1-F9)*F11</f>
        <v>3.5999999999999997E-2</v>
      </c>
      <c r="M12" s="9"/>
      <c r="N12" s="9"/>
      <c r="O12" s="9"/>
      <c r="P12" s="9"/>
      <c r="Q12" s="9"/>
    </row>
    <row r="13" spans="1:19" ht="15" customHeight="1" x14ac:dyDescent="0.2">
      <c r="A13" s="8" t="s">
        <v>18</v>
      </c>
      <c r="B13" s="10">
        <v>0.98</v>
      </c>
      <c r="C13" s="10">
        <v>0.98</v>
      </c>
      <c r="D13" s="10">
        <v>0.98</v>
      </c>
      <c r="E13" s="10">
        <v>0.98</v>
      </c>
      <c r="F13" s="10">
        <v>0.98</v>
      </c>
      <c r="S13" s="4" t="s">
        <v>19</v>
      </c>
    </row>
    <row r="14" spans="1:19" ht="15" customHeight="1" x14ac:dyDescent="0.2">
      <c r="A14" s="8" t="s">
        <v>20</v>
      </c>
      <c r="B14" s="11">
        <f>G14*(1+B8)</f>
        <v>1647.24</v>
      </c>
      <c r="C14" s="11">
        <f>B14*(1+C8)</f>
        <v>1711.48236</v>
      </c>
      <c r="D14" s="11">
        <f>C14*(1+D8)</f>
        <v>1773.0957249600001</v>
      </c>
      <c r="E14" s="11">
        <f>D14*(1+E8)</f>
        <v>1836.9271710585601</v>
      </c>
      <c r="F14" s="11">
        <f>E14*(1+F8)</f>
        <v>1903.0565492166684</v>
      </c>
      <c r="G14" s="12">
        <v>1590</v>
      </c>
      <c r="L14" s="12">
        <v>1590</v>
      </c>
      <c r="M14" s="11"/>
      <c r="N14" s="11"/>
      <c r="O14" s="11"/>
      <c r="P14" s="11"/>
      <c r="Q14" s="11"/>
      <c r="S14" s="4" t="s">
        <v>21</v>
      </c>
    </row>
    <row r="16" spans="1:19" ht="15" customHeight="1" x14ac:dyDescent="0.2">
      <c r="A16" s="3" t="s">
        <v>22</v>
      </c>
    </row>
    <row r="17" spans="1:19" ht="15" customHeight="1" x14ac:dyDescent="0.2">
      <c r="A17" s="8" t="s">
        <v>23</v>
      </c>
      <c r="B17" s="10">
        <v>2.5000000000000001E-2</v>
      </c>
      <c r="C17" s="10">
        <v>2.8000000000000001E-2</v>
      </c>
      <c r="D17" s="10">
        <v>0.03</v>
      </c>
      <c r="E17" s="10">
        <v>0.03</v>
      </c>
      <c r="F17" s="10">
        <v>0.03</v>
      </c>
      <c r="S17" s="4" t="s">
        <v>24</v>
      </c>
    </row>
    <row r="18" spans="1:19" ht="15" customHeight="1" x14ac:dyDescent="0.2">
      <c r="A18" s="8" t="s">
        <v>25</v>
      </c>
      <c r="B18" s="10">
        <v>2.5000000000000001E-2</v>
      </c>
      <c r="C18" s="10">
        <v>2.5000000000000001E-2</v>
      </c>
      <c r="D18" s="10">
        <v>0.03</v>
      </c>
      <c r="E18" s="10">
        <v>0.03</v>
      </c>
      <c r="F18" s="10">
        <v>0.03</v>
      </c>
      <c r="S18" s="4" t="s">
        <v>26</v>
      </c>
    </row>
    <row r="19" spans="1:19" ht="15" customHeight="1" x14ac:dyDescent="0.2">
      <c r="A19" s="8" t="s">
        <v>27</v>
      </c>
      <c r="B19" s="10">
        <v>3.5000000000000003E-2</v>
      </c>
      <c r="C19" s="10">
        <v>3.5000000000000003E-2</v>
      </c>
      <c r="D19" s="10">
        <v>3.5000000000000003E-2</v>
      </c>
      <c r="E19" s="10">
        <v>3.5000000000000003E-2</v>
      </c>
      <c r="F19" s="10">
        <v>3.5000000000000003E-2</v>
      </c>
      <c r="S19" s="4" t="s">
        <v>28</v>
      </c>
    </row>
    <row r="20" spans="1:19" ht="15" customHeight="1" x14ac:dyDescent="0.2">
      <c r="A20" s="8" t="s">
        <v>29</v>
      </c>
      <c r="B20" s="9">
        <f>0.5*B17+0.24*B18+0.26*B19</f>
        <v>2.7600000000000003E-2</v>
      </c>
      <c r="C20" s="9">
        <f>0.5*C17+0.24*C18+0.26*C19</f>
        <v>2.9100000000000001E-2</v>
      </c>
      <c r="D20" s="9">
        <f>0.5*D17+0.24*D18+0.26*D19</f>
        <v>3.1299999999999994E-2</v>
      </c>
      <c r="E20" s="9">
        <f>0.5*E17+0.24*E18+0.26*E19</f>
        <v>3.1299999999999994E-2</v>
      </c>
      <c r="F20" s="9">
        <f>0.5*F17+0.24*F18+0.26*F19</f>
        <v>3.1299999999999994E-2</v>
      </c>
      <c r="M20" s="9"/>
      <c r="N20" s="9"/>
      <c r="O20" s="9"/>
      <c r="P20" s="9"/>
      <c r="Q20" s="9"/>
    </row>
    <row r="22" spans="1:19" ht="15" customHeight="1" x14ac:dyDescent="0.2">
      <c r="A22" s="3" t="s">
        <v>30</v>
      </c>
    </row>
    <row r="23" spans="1:19" ht="15" customHeight="1" x14ac:dyDescent="0.2">
      <c r="A23" s="8" t="s">
        <v>31</v>
      </c>
      <c r="B23" s="13">
        <v>100000</v>
      </c>
      <c r="C23" s="13">
        <v>150000</v>
      </c>
      <c r="D23" s="13">
        <v>100000</v>
      </c>
      <c r="E23" s="13">
        <v>100000</v>
      </c>
      <c r="F23" s="13">
        <v>100000</v>
      </c>
      <c r="S23" s="4" t="s">
        <v>32</v>
      </c>
    </row>
    <row r="24" spans="1:19" ht="15" customHeight="1" x14ac:dyDescent="0.2">
      <c r="A24" s="8" t="s">
        <v>33</v>
      </c>
      <c r="B24" s="10">
        <v>0.05</v>
      </c>
      <c r="C24" s="10">
        <v>0.05</v>
      </c>
      <c r="D24" s="10">
        <v>0.05</v>
      </c>
      <c r="E24" s="10">
        <v>0.05</v>
      </c>
      <c r="F24" s="10">
        <v>0.05</v>
      </c>
    </row>
    <row r="25" spans="1:19" ht="15" customHeight="1" x14ac:dyDescent="0.2">
      <c r="A25" s="8" t="s">
        <v>34</v>
      </c>
      <c r="B25" s="14">
        <f>B23*B24*0.5</f>
        <v>2500</v>
      </c>
      <c r="C25" s="14">
        <f>C23*C24*0.5</f>
        <v>3750</v>
      </c>
      <c r="D25" s="14">
        <f>D23*D24*0.5</f>
        <v>2500</v>
      </c>
      <c r="E25" s="14">
        <f>E23*E24*0.5</f>
        <v>2500</v>
      </c>
      <c r="F25" s="14">
        <f>F23*F24*0.5</f>
        <v>2500</v>
      </c>
      <c r="M25" s="14"/>
      <c r="N25" s="14"/>
      <c r="O25" s="14"/>
      <c r="P25" s="14"/>
      <c r="Q25" s="14"/>
    </row>
    <row r="26" spans="1:19" ht="15" customHeight="1" x14ac:dyDescent="0.2">
      <c r="A26" s="8" t="s">
        <v>35</v>
      </c>
      <c r="B26" s="14">
        <v>0</v>
      </c>
      <c r="C26" s="14">
        <f>B25</f>
        <v>2500</v>
      </c>
      <c r="D26" s="14">
        <f>C25</f>
        <v>3750</v>
      </c>
      <c r="E26" s="14">
        <f>D25</f>
        <v>2500</v>
      </c>
      <c r="F26" s="14">
        <f>E25</f>
        <v>2500</v>
      </c>
      <c r="M26" s="14"/>
      <c r="N26" s="14"/>
      <c r="O26" s="14"/>
      <c r="P26" s="14"/>
      <c r="Q26" s="14"/>
    </row>
    <row r="27" spans="1:19" ht="15" customHeight="1" x14ac:dyDescent="0.2">
      <c r="A27" s="8" t="s">
        <v>36</v>
      </c>
      <c r="B27" s="13">
        <v>50000</v>
      </c>
      <c r="C27" s="13">
        <v>50000</v>
      </c>
      <c r="D27" s="13">
        <v>50000</v>
      </c>
      <c r="E27" s="13">
        <v>50000</v>
      </c>
      <c r="F27" s="13">
        <v>50000</v>
      </c>
      <c r="S27" s="4" t="s">
        <v>37</v>
      </c>
    </row>
    <row r="28" spans="1:19" ht="15" customHeight="1" x14ac:dyDescent="0.2">
      <c r="A28" s="8" t="s">
        <v>38</v>
      </c>
      <c r="B28" s="10">
        <v>0.05</v>
      </c>
      <c r="C28" s="10">
        <v>0.05</v>
      </c>
      <c r="D28" s="10">
        <v>0.05</v>
      </c>
      <c r="E28" s="10">
        <v>0.05</v>
      </c>
      <c r="F28" s="10">
        <v>0.05</v>
      </c>
    </row>
    <row r="29" spans="1:19" ht="15" customHeight="1" x14ac:dyDescent="0.2">
      <c r="A29" s="8" t="s">
        <v>39</v>
      </c>
      <c r="B29" s="14">
        <f>-B27*B28*0.5</f>
        <v>-1250</v>
      </c>
      <c r="C29" s="14">
        <f>-C27*C28*0.5</f>
        <v>-1250</v>
      </c>
      <c r="D29" s="14">
        <f>-D27*D28*0.5</f>
        <v>-1250</v>
      </c>
      <c r="E29" s="14">
        <f>-E27*E28*0.5</f>
        <v>-1250</v>
      </c>
      <c r="F29" s="14">
        <f>-F27*F28*0.5</f>
        <v>-1250</v>
      </c>
      <c r="M29" s="14"/>
      <c r="N29" s="14"/>
      <c r="O29" s="14"/>
      <c r="P29" s="14"/>
      <c r="Q29" s="14"/>
    </row>
    <row r="30" spans="1:19" ht="15" customHeight="1" x14ac:dyDescent="0.2">
      <c r="A30" s="8" t="s">
        <v>40</v>
      </c>
      <c r="B30" s="13">
        <v>3000</v>
      </c>
      <c r="C30" s="13">
        <v>5000</v>
      </c>
      <c r="D30" s="13">
        <v>5000</v>
      </c>
      <c r="E30" s="13">
        <v>3000</v>
      </c>
      <c r="F30" s="13">
        <v>0</v>
      </c>
      <c r="S30" s="4" t="s">
        <v>41</v>
      </c>
    </row>
    <row r="31" spans="1:19" ht="15" customHeight="1" x14ac:dyDescent="0.2">
      <c r="B31" s="10">
        <v>0.6</v>
      </c>
      <c r="C31" s="10">
        <v>0.6</v>
      </c>
      <c r="D31" s="10">
        <v>0.6</v>
      </c>
      <c r="E31" s="10">
        <v>0.6</v>
      </c>
      <c r="F31" s="10">
        <v>0.6</v>
      </c>
    </row>
    <row r="32" spans="1:19" ht="15" customHeight="1" x14ac:dyDescent="0.2">
      <c r="A32" s="3" t="s">
        <v>42</v>
      </c>
    </row>
    <row r="33" spans="1:19" ht="15" customHeight="1" x14ac:dyDescent="0.2">
      <c r="A33" s="8" t="s">
        <v>43</v>
      </c>
      <c r="B33" s="10">
        <v>7.9000000000000001E-2</v>
      </c>
      <c r="C33" s="10">
        <v>7.9000000000000001E-2</v>
      </c>
      <c r="D33" s="10">
        <v>7.8E-2</v>
      </c>
      <c r="E33" s="10">
        <v>7.8E-2</v>
      </c>
      <c r="F33" s="10">
        <v>7.8E-2</v>
      </c>
      <c r="S33" s="4" t="s">
        <v>44</v>
      </c>
    </row>
    <row r="34" spans="1:19" ht="15" customHeight="1" x14ac:dyDescent="0.2">
      <c r="A34" s="8" t="s">
        <v>45</v>
      </c>
      <c r="B34" s="13">
        <v>4200</v>
      </c>
      <c r="C34" s="13">
        <v>4200</v>
      </c>
      <c r="D34" s="13">
        <v>4200</v>
      </c>
      <c r="E34" s="13">
        <v>4200</v>
      </c>
      <c r="F34" s="13">
        <v>4200</v>
      </c>
      <c r="S34" s="4" t="s">
        <v>46</v>
      </c>
    </row>
    <row r="35" spans="1:19" ht="15" customHeight="1" x14ac:dyDescent="0.2">
      <c r="B35" s="14">
        <v>0</v>
      </c>
      <c r="C35" s="14">
        <f>B35+B27*B28</f>
        <v>2500</v>
      </c>
      <c r="D35" s="14">
        <f>C35+C27*C28</f>
        <v>5000</v>
      </c>
      <c r="E35" s="14">
        <f>D35+D27*D28</f>
        <v>7500</v>
      </c>
      <c r="F35" s="14">
        <f>E35+E27*E28</f>
        <v>10000</v>
      </c>
    </row>
    <row r="36" spans="1:19" ht="15" customHeight="1" x14ac:dyDescent="0.2">
      <c r="A36" s="3" t="s">
        <v>47</v>
      </c>
    </row>
    <row r="37" spans="1:19" ht="15" customHeight="1" x14ac:dyDescent="0.2">
      <c r="A37" s="8" t="s">
        <v>48</v>
      </c>
      <c r="B37" s="13">
        <v>3590000</v>
      </c>
      <c r="C37" s="14">
        <f>B53</f>
        <v>3540000</v>
      </c>
      <c r="D37" s="14">
        <f>C53</f>
        <v>3513000</v>
      </c>
      <c r="E37" s="14">
        <f>D53</f>
        <v>3459000</v>
      </c>
      <c r="F37" s="14">
        <f>E53</f>
        <v>3403000</v>
      </c>
      <c r="M37" s="13"/>
      <c r="N37" s="14"/>
      <c r="O37" s="14"/>
      <c r="P37" s="14"/>
      <c r="Q37" s="14"/>
    </row>
    <row r="38" spans="1:19" ht="15" customHeight="1" x14ac:dyDescent="0.2">
      <c r="A38" s="8" t="s">
        <v>49</v>
      </c>
      <c r="B38" s="13">
        <v>500000</v>
      </c>
      <c r="C38" s="13">
        <v>450000</v>
      </c>
      <c r="D38" s="13">
        <v>550000</v>
      </c>
      <c r="E38" s="13">
        <v>400000</v>
      </c>
      <c r="F38" s="13">
        <v>500000</v>
      </c>
      <c r="S38" s="4" t="s">
        <v>50</v>
      </c>
    </row>
    <row r="39" spans="1:19" ht="15" customHeight="1" x14ac:dyDescent="0.2">
      <c r="A39" s="8" t="s">
        <v>51</v>
      </c>
      <c r="B39" s="10">
        <v>2.5000000000000001E-2</v>
      </c>
      <c r="C39" s="10">
        <v>2.8000000000000001E-2</v>
      </c>
      <c r="D39" s="10">
        <v>0.03</v>
      </c>
      <c r="E39" s="10">
        <v>3.2000000000000001E-2</v>
      </c>
      <c r="F39" s="10">
        <v>3.3000000000000002E-2</v>
      </c>
      <c r="S39" s="4" t="s">
        <v>52</v>
      </c>
    </row>
    <row r="40" spans="1:19" ht="15" customHeight="1" x14ac:dyDescent="0.2">
      <c r="A40" s="8" t="s">
        <v>53</v>
      </c>
      <c r="B40" s="10">
        <v>3.7199999999999997E-2</v>
      </c>
      <c r="C40" s="10">
        <v>3.7999999999999999E-2</v>
      </c>
      <c r="D40" s="10">
        <v>3.6999999999999998E-2</v>
      </c>
      <c r="E40" s="10">
        <v>3.6999999999999998E-2</v>
      </c>
      <c r="F40" s="10">
        <v>3.5999999999999997E-2</v>
      </c>
      <c r="S40" s="4" t="s">
        <v>54</v>
      </c>
    </row>
    <row r="41" spans="1:19" ht="15" customHeight="1" x14ac:dyDescent="0.2">
      <c r="A41" s="8" t="s">
        <v>55</v>
      </c>
      <c r="B41" s="10">
        <v>0.5</v>
      </c>
      <c r="C41" s="10">
        <v>0.5</v>
      </c>
      <c r="D41" s="10">
        <v>0.5</v>
      </c>
      <c r="E41" s="10">
        <v>0.5</v>
      </c>
      <c r="F41" s="10">
        <v>0.5</v>
      </c>
      <c r="S41" s="4" t="s">
        <v>56</v>
      </c>
    </row>
    <row r="42" spans="1:19" ht="15" customHeight="1" x14ac:dyDescent="0.2">
      <c r="A42" s="8" t="s">
        <v>57</v>
      </c>
      <c r="B42" s="14">
        <f>B23*B41</f>
        <v>50000</v>
      </c>
      <c r="C42" s="14">
        <f>C23*C41</f>
        <v>75000</v>
      </c>
      <c r="D42" s="14">
        <f>D23*D41</f>
        <v>50000</v>
      </c>
      <c r="E42" s="14">
        <f>E23*E41</f>
        <v>50000</v>
      </c>
      <c r="F42" s="14">
        <f>F23*F41</f>
        <v>50000</v>
      </c>
      <c r="S42" s="4" t="s">
        <v>58</v>
      </c>
    </row>
    <row r="43" spans="1:19" ht="15" customHeight="1" x14ac:dyDescent="0.2">
      <c r="A43" s="8" t="s">
        <v>59</v>
      </c>
      <c r="B43" s="15">
        <v>80000</v>
      </c>
      <c r="C43" s="15">
        <v>82000</v>
      </c>
      <c r="D43" s="15">
        <v>84000</v>
      </c>
      <c r="E43" s="15">
        <v>86000</v>
      </c>
      <c r="F43" s="15">
        <v>88000</v>
      </c>
      <c r="M43" s="14"/>
      <c r="N43" s="14"/>
      <c r="O43" s="14"/>
      <c r="P43" s="14"/>
      <c r="Q43" s="14"/>
      <c r="S43" s="1" t="s">
        <v>60</v>
      </c>
    </row>
    <row r="44" spans="1:19" ht="15" customHeight="1" x14ac:dyDescent="0.2">
      <c r="A44" s="8" t="s">
        <v>61</v>
      </c>
      <c r="B44" s="10">
        <v>3.6499999999999998E-2</v>
      </c>
      <c r="C44" s="10">
        <v>3.6999999999999998E-2</v>
      </c>
      <c r="D44" s="10">
        <v>3.6999999999999998E-2</v>
      </c>
      <c r="E44" s="10">
        <v>3.6499999999999998E-2</v>
      </c>
      <c r="F44" s="10">
        <v>3.5999999999999997E-2</v>
      </c>
      <c r="M44" s="14"/>
      <c r="N44" s="14"/>
      <c r="O44" s="14"/>
      <c r="P44" s="14"/>
      <c r="Q44" s="14"/>
    </row>
    <row r="45" spans="1:19" ht="15" customHeight="1" x14ac:dyDescent="0.2">
      <c r="A45" s="8" t="s">
        <v>62</v>
      </c>
      <c r="B45" s="14">
        <f>B38*(B39-B40)</f>
        <v>-6099.9999999999982</v>
      </c>
      <c r="C45" s="14">
        <f>C38*(C39-C40)</f>
        <v>-4499.9999999999991</v>
      </c>
      <c r="D45" s="14">
        <f>D38*(D39-D40)</f>
        <v>-3849.9999999999995</v>
      </c>
      <c r="E45" s="14">
        <f>E38*(E39-E40)</f>
        <v>-1999.9999999999991</v>
      </c>
      <c r="F45" s="14">
        <f>F38*(F39-F40)</f>
        <v>-1499.999999999998</v>
      </c>
      <c r="M45" s="14"/>
      <c r="N45" s="14"/>
      <c r="O45" s="14"/>
      <c r="P45" s="14"/>
      <c r="Q45" s="14"/>
      <c r="S45" s="1" t="s">
        <v>63</v>
      </c>
    </row>
    <row r="46" spans="1:19" ht="15" customHeight="1" x14ac:dyDescent="0.2">
      <c r="A46" s="8" t="s">
        <v>64</v>
      </c>
      <c r="B46" s="16">
        <f>((B37-B38)*B44+B38*B40+B42*B40)/(B37+B42-B43)</f>
        <v>3.7428370786516854E-2</v>
      </c>
      <c r="C46" s="16">
        <f>((C37-C38)*C44+C38*C40+C42*C40)/(C37+C42-C43)</f>
        <v>3.8007359184828754E-2</v>
      </c>
      <c r="D46" s="16">
        <f>((D37-D38)*D44+D38*D40+D42*D40)/(D37+D42-D43)</f>
        <v>3.7893360160965797E-2</v>
      </c>
      <c r="E46" s="16">
        <f>((E37-E38)*E44+E38*E40+E42*E40)/(E37+E42-E43)</f>
        <v>3.7482763657610281E-2</v>
      </c>
      <c r="F46" s="16">
        <f>((F37-F38)*F44+F38*F40+F42*F40)/(F37+F42-F43)</f>
        <v>3.6941456166419015E-2</v>
      </c>
      <c r="S46" s="4" t="s">
        <v>65</v>
      </c>
    </row>
    <row r="47" spans="1:19" ht="15" customHeight="1" x14ac:dyDescent="0.2">
      <c r="A47" s="8" t="s">
        <v>66</v>
      </c>
      <c r="B47" s="14">
        <f>(B37+B53)/2*B46</f>
        <v>133432.14185393258</v>
      </c>
      <c r="C47" s="14">
        <f>(C37+C53)/2*C46</f>
        <v>134032.9521652986</v>
      </c>
      <c r="D47" s="14">
        <f>(D37+D53)/2*D46</f>
        <v>132096.25352112678</v>
      </c>
      <c r="E47" s="14">
        <f>(E37+E53)/2*E46</f>
        <v>128603.36210926088</v>
      </c>
      <c r="F47" s="14">
        <f>(F37+F53)/2*F46</f>
        <v>124640.47310549776</v>
      </c>
      <c r="S47" s="1" t="s">
        <v>67</v>
      </c>
    </row>
    <row r="48" spans="1:19" ht="15" customHeight="1" x14ac:dyDescent="0.2">
      <c r="A48" s="8" t="s">
        <v>68</v>
      </c>
      <c r="B48" s="14">
        <f>B27*(1-B31)</f>
        <v>20000</v>
      </c>
      <c r="C48" s="14">
        <f>C27*(1-C31)</f>
        <v>20000</v>
      </c>
      <c r="D48" s="14">
        <f>D27*(1-D31)</f>
        <v>20000</v>
      </c>
      <c r="E48" s="14">
        <f>E27*(1-E31)</f>
        <v>20000</v>
      </c>
      <c r="F48" s="14">
        <f>F27*(1-F31)</f>
        <v>20000</v>
      </c>
      <c r="M48" s="14"/>
      <c r="N48" s="14"/>
      <c r="O48" s="14"/>
      <c r="P48" s="14"/>
      <c r="Q48" s="14"/>
      <c r="S48" s="1" t="s">
        <v>69</v>
      </c>
    </row>
    <row r="50" spans="1:19" ht="15" customHeight="1" x14ac:dyDescent="0.2">
      <c r="A50" s="3" t="s">
        <v>70</v>
      </c>
    </row>
    <row r="51" spans="1:19" ht="15" customHeight="1" x14ac:dyDescent="0.2">
      <c r="A51" s="8" t="s">
        <v>71</v>
      </c>
      <c r="B51" s="17">
        <f t="shared" ref="B51:G51" si="0">B61</f>
        <v>34853.777777777774</v>
      </c>
      <c r="C51" s="17">
        <f t="shared" si="0"/>
        <v>35409.333333333328</v>
      </c>
      <c r="D51" s="17">
        <f t="shared" si="0"/>
        <v>35687.111111111102</v>
      </c>
      <c r="E51" s="17">
        <f t="shared" si="0"/>
        <v>35964.888888888876</v>
      </c>
      <c r="F51" s="17">
        <f t="shared" si="0"/>
        <v>36242.66666666665</v>
      </c>
      <c r="G51" s="18">
        <f t="shared" si="0"/>
        <v>34576</v>
      </c>
      <c r="S51" s="4" t="s">
        <v>72</v>
      </c>
    </row>
    <row r="52" spans="1:19" ht="15" customHeight="1" x14ac:dyDescent="0.2">
      <c r="A52" s="8" t="s">
        <v>73</v>
      </c>
      <c r="B52" s="14">
        <f>B64*B61/1000</f>
        <v>41824.533333333326</v>
      </c>
      <c r="C52" s="14">
        <f>C64*C61/1000</f>
        <v>44261.666666666664</v>
      </c>
      <c r="D52" s="14">
        <f>D64*D61/1000</f>
        <v>46393.244444444434</v>
      </c>
      <c r="E52" s="14">
        <f>E64*E61/1000</f>
        <v>48552.599999999984</v>
      </c>
      <c r="F52" s="14">
        <f>F64*F61/1000</f>
        <v>50739.733333333308</v>
      </c>
    </row>
    <row r="53" spans="1:19" ht="15" customHeight="1" x14ac:dyDescent="0.2">
      <c r="A53" s="8" t="s">
        <v>74</v>
      </c>
      <c r="B53" s="14">
        <f>B37-B43+B42-B48</f>
        <v>3540000</v>
      </c>
      <c r="C53" s="14">
        <f>C37-C43+C42-C48</f>
        <v>3513000</v>
      </c>
      <c r="D53" s="14">
        <f>D37-D43+D42-D48</f>
        <v>3459000</v>
      </c>
      <c r="E53" s="14">
        <f>E37-E43+E42-E48</f>
        <v>3403000</v>
      </c>
      <c r="F53" s="14">
        <f>F37-F43+F42-F48</f>
        <v>3345000</v>
      </c>
      <c r="S53" s="1" t="s">
        <v>75</v>
      </c>
    </row>
    <row r="54" spans="1:19" ht="15" customHeight="1" x14ac:dyDescent="0.2">
      <c r="A54" s="8" t="s">
        <v>76</v>
      </c>
      <c r="B54" s="14">
        <f>B108</f>
        <v>142540.12580471102</v>
      </c>
      <c r="C54" s="14">
        <f>C108</f>
        <v>293382.50584213133</v>
      </c>
      <c r="D54" s="14">
        <f>D108</f>
        <v>403728.33662589733</v>
      </c>
      <c r="E54" s="14">
        <f>E108</f>
        <v>500619.06660028448</v>
      </c>
      <c r="F54" s="14">
        <f>F108</f>
        <v>586361.91069741594</v>
      </c>
      <c r="S54" s="1" t="s">
        <v>77</v>
      </c>
    </row>
    <row r="55" spans="1:19" ht="15" customHeight="1" x14ac:dyDescent="0.2">
      <c r="A55" s="8" t="s">
        <v>78</v>
      </c>
      <c r="B55" s="10">
        <v>5.5E-2</v>
      </c>
      <c r="C55" s="10">
        <v>5.5E-2</v>
      </c>
      <c r="D55" s="10">
        <v>5.5E-2</v>
      </c>
      <c r="E55" s="10">
        <v>5.5E-2</v>
      </c>
      <c r="F55" s="10">
        <v>5.5E-2</v>
      </c>
    </row>
    <row r="56" spans="1:19" ht="15" customHeight="1" x14ac:dyDescent="0.2">
      <c r="A56" s="8" t="s">
        <v>79</v>
      </c>
      <c r="B56" s="14">
        <f>B99</f>
        <v>-30000</v>
      </c>
      <c r="C56" s="14">
        <f>C99</f>
        <v>-20000</v>
      </c>
      <c r="D56" s="14">
        <f>D99</f>
        <v>-15000</v>
      </c>
      <c r="E56" s="14">
        <f>E99</f>
        <v>-10000</v>
      </c>
      <c r="F56" s="14">
        <f>F99</f>
        <v>-5000</v>
      </c>
      <c r="G56" s="13">
        <v>0</v>
      </c>
      <c r="M56" s="14"/>
      <c r="N56" s="14"/>
      <c r="O56" s="14"/>
      <c r="P56" s="14"/>
      <c r="Q56" s="14"/>
    </row>
    <row r="57" spans="1:19" ht="15" customHeight="1" x14ac:dyDescent="0.2">
      <c r="A57" s="8" t="s">
        <v>80</v>
      </c>
      <c r="B57" s="13">
        <v>4200</v>
      </c>
      <c r="C57" s="13">
        <v>4200</v>
      </c>
      <c r="D57" s="13">
        <v>4200</v>
      </c>
      <c r="E57" s="13">
        <v>4200</v>
      </c>
      <c r="F57" s="13">
        <v>4200</v>
      </c>
      <c r="S57" s="4" t="s">
        <v>81</v>
      </c>
    </row>
    <row r="58" spans="1:19" ht="15" customHeight="1" x14ac:dyDescent="0.2">
      <c r="A58" s="8" t="s">
        <v>82</v>
      </c>
      <c r="B58" s="14"/>
      <c r="C58" s="14"/>
      <c r="D58" s="14"/>
      <c r="E58" s="14"/>
      <c r="F58" s="14"/>
      <c r="M58" s="14"/>
      <c r="N58" s="14"/>
      <c r="O58" s="14"/>
      <c r="P58" s="14"/>
      <c r="Q58" s="14"/>
    </row>
    <row r="59" spans="1:19" ht="15" customHeight="1" x14ac:dyDescent="0.2">
      <c r="A59" s="8" t="s">
        <v>83</v>
      </c>
      <c r="B59" s="13"/>
      <c r="C59" s="13"/>
      <c r="D59" s="13"/>
      <c r="E59" s="13"/>
      <c r="F59" s="13"/>
      <c r="S59" s="4" t="s">
        <v>84</v>
      </c>
    </row>
    <row r="61" spans="1:19" ht="15" customHeight="1" x14ac:dyDescent="0.2">
      <c r="A61" s="3" t="s">
        <v>85</v>
      </c>
      <c r="B61" s="14">
        <f>G61-B27/180+B23/180</f>
        <v>34853.777777777774</v>
      </c>
      <c r="C61" s="14">
        <f>B61-C27/180+C23/180</f>
        <v>35409.333333333328</v>
      </c>
      <c r="D61" s="14">
        <f>C61-D27/180+D23/180</f>
        <v>35687.111111111102</v>
      </c>
      <c r="E61" s="14">
        <f>D61-E27/180+E23/180</f>
        <v>35964.888888888876</v>
      </c>
      <c r="F61" s="14">
        <f>E61-F27/180+F23/180</f>
        <v>36242.66666666665</v>
      </c>
      <c r="G61" s="13">
        <v>34576</v>
      </c>
    </row>
    <row r="62" spans="1:19" ht="15" customHeight="1" x14ac:dyDescent="0.2">
      <c r="A62" s="8" t="s">
        <v>86</v>
      </c>
      <c r="B62" s="9">
        <f>B9</f>
        <v>0.3</v>
      </c>
      <c r="C62" s="9">
        <f>C9</f>
        <v>0.3</v>
      </c>
      <c r="D62" s="9">
        <f>D9</f>
        <v>0.3</v>
      </c>
      <c r="E62" s="9">
        <f>E9</f>
        <v>0.3</v>
      </c>
      <c r="F62" s="9">
        <f>F9</f>
        <v>0.3</v>
      </c>
      <c r="M62" s="13"/>
      <c r="N62" s="14"/>
      <c r="O62" s="14"/>
      <c r="P62" s="14"/>
      <c r="Q62" s="14"/>
    </row>
    <row r="63" spans="1:19" ht="15" customHeight="1" x14ac:dyDescent="0.2">
      <c r="A63" s="8" t="s">
        <v>87</v>
      </c>
      <c r="B63" s="14">
        <f>B61*B62</f>
        <v>10456.133333333331</v>
      </c>
      <c r="C63" s="14">
        <f>C61*C62</f>
        <v>10622.799999999997</v>
      </c>
      <c r="D63" s="14">
        <f>D61*D62</f>
        <v>10706.13333333333</v>
      </c>
      <c r="E63" s="14">
        <f>E61*E62</f>
        <v>10789.466666666662</v>
      </c>
      <c r="F63" s="14">
        <f>F61*F62</f>
        <v>10872.799999999994</v>
      </c>
      <c r="S63" s="4" t="s">
        <v>88</v>
      </c>
    </row>
    <row r="64" spans="1:19" ht="15" customHeight="1" x14ac:dyDescent="0.2">
      <c r="A64" s="8" t="s">
        <v>89</v>
      </c>
      <c r="B64" s="13">
        <v>1200</v>
      </c>
      <c r="C64" s="13">
        <v>1250</v>
      </c>
      <c r="D64" s="13">
        <v>1300</v>
      </c>
      <c r="E64" s="13">
        <v>1350</v>
      </c>
      <c r="F64" s="13">
        <v>1400</v>
      </c>
      <c r="S64" s="4" t="s">
        <v>90</v>
      </c>
    </row>
    <row r="65" spans="1:19" ht="15" customHeight="1" x14ac:dyDescent="0.2">
      <c r="A65" s="8" t="s">
        <v>91</v>
      </c>
      <c r="B65" s="10">
        <v>0.25</v>
      </c>
      <c r="C65" s="10">
        <v>0.25</v>
      </c>
      <c r="D65" s="10">
        <v>0.25</v>
      </c>
      <c r="E65" s="10">
        <v>0.25</v>
      </c>
      <c r="F65" s="10">
        <v>0.25</v>
      </c>
      <c r="S65" s="4" t="s">
        <v>92</v>
      </c>
    </row>
    <row r="66" spans="1:19" ht="15" customHeight="1" x14ac:dyDescent="0.2">
      <c r="A66" s="8" t="s">
        <v>93</v>
      </c>
      <c r="B66" s="13">
        <v>24000</v>
      </c>
      <c r="C66" s="13">
        <v>24600</v>
      </c>
      <c r="D66" s="13">
        <v>25200</v>
      </c>
      <c r="E66" s="13">
        <v>25800</v>
      </c>
      <c r="F66" s="13">
        <v>26400</v>
      </c>
      <c r="S66" s="4" t="s">
        <v>94</v>
      </c>
    </row>
    <row r="67" spans="1:19" ht="15" customHeight="1" x14ac:dyDescent="0.2">
      <c r="A67" s="8" t="s">
        <v>95</v>
      </c>
      <c r="B67" s="13">
        <v>750</v>
      </c>
      <c r="C67" s="13">
        <v>775</v>
      </c>
      <c r="D67" s="13">
        <v>800</v>
      </c>
      <c r="E67" s="13">
        <v>825</v>
      </c>
      <c r="F67" s="13">
        <v>850</v>
      </c>
      <c r="M67" s="14"/>
      <c r="N67" s="14"/>
      <c r="O67" s="14"/>
      <c r="P67" s="14"/>
      <c r="Q67" s="14"/>
    </row>
    <row r="68" spans="1:19" ht="15" customHeight="1" x14ac:dyDescent="0.2">
      <c r="A68" s="8" t="s">
        <v>96</v>
      </c>
      <c r="B68" s="13">
        <v>700</v>
      </c>
      <c r="C68" s="13">
        <v>720</v>
      </c>
      <c r="D68" s="13">
        <v>740</v>
      </c>
      <c r="E68" s="13">
        <v>760</v>
      </c>
      <c r="F68" s="13">
        <v>780</v>
      </c>
      <c r="M68" s="14"/>
      <c r="N68" s="14"/>
      <c r="O68" s="14"/>
      <c r="P68" s="14"/>
      <c r="Q68" s="14"/>
    </row>
    <row r="69" spans="1:19" ht="15" customHeight="1" x14ac:dyDescent="0.2">
      <c r="A69" s="8" t="s">
        <v>97</v>
      </c>
      <c r="B69" s="14">
        <f>B63*B65*B66/1000</f>
        <v>62736.799999999988</v>
      </c>
      <c r="C69" s="14">
        <f>C63*C65*C66/1000</f>
        <v>65330.219999999987</v>
      </c>
      <c r="D69" s="14">
        <f>D63*D65*D66/1000</f>
        <v>67448.63999999997</v>
      </c>
      <c r="E69" s="14">
        <f>E63*E65*E66/1000</f>
        <v>69592.059999999969</v>
      </c>
      <c r="F69" s="14">
        <f>F63*F65*F66/1000</f>
        <v>71760.479999999952</v>
      </c>
    </row>
    <row r="70" spans="1:19" ht="15" customHeight="1" x14ac:dyDescent="0.2">
      <c r="A70" s="8" t="s">
        <v>98</v>
      </c>
      <c r="B70" s="14">
        <f>B67*B61/1000</f>
        <v>26140.333333333332</v>
      </c>
      <c r="C70" s="14">
        <f>C67*C61/1000</f>
        <v>27442.23333333333</v>
      </c>
      <c r="D70" s="14">
        <f>D67*D61/1000</f>
        <v>28549.688888888879</v>
      </c>
      <c r="E70" s="14">
        <f>E67*E61/1000</f>
        <v>29671.033333333322</v>
      </c>
      <c r="F70" s="14">
        <f>F67*F61/1000</f>
        <v>30806.266666666652</v>
      </c>
    </row>
    <row r="71" spans="1:19" ht="15" customHeight="1" x14ac:dyDescent="0.2">
      <c r="A71" s="8" t="s">
        <v>99</v>
      </c>
      <c r="B71" s="14">
        <f>B68*B61/1000</f>
        <v>24397.644444444439</v>
      </c>
      <c r="C71" s="14">
        <f>C68*C61/1000</f>
        <v>25494.719999999998</v>
      </c>
      <c r="D71" s="14">
        <f>D68*D61/1000</f>
        <v>26408.462222222217</v>
      </c>
      <c r="E71" s="14">
        <f>E68*E61/1000</f>
        <v>27333.315555555546</v>
      </c>
      <c r="F71" s="14">
        <f>F68*F61/1000</f>
        <v>28269.279999999984</v>
      </c>
      <c r="S71" s="4" t="s">
        <v>100</v>
      </c>
    </row>
    <row r="72" spans="1:19" ht="15" customHeight="1" x14ac:dyDescent="0.2">
      <c r="A72" s="8" t="s">
        <v>101</v>
      </c>
      <c r="B72" s="14">
        <f>B52+B69+B70+B71</f>
        <v>155099.31111111108</v>
      </c>
      <c r="C72" s="14">
        <f>C52+C69+C70+C71</f>
        <v>162528.84</v>
      </c>
      <c r="D72" s="14">
        <f>D52+D69+D70+D71</f>
        <v>168800.03555555551</v>
      </c>
      <c r="E72" s="14">
        <f>E52+E69+E70+E71</f>
        <v>175149.00888888881</v>
      </c>
      <c r="F72" s="14">
        <f>F52+F69+F70+F71</f>
        <v>181575.75999999989</v>
      </c>
      <c r="S72" s="4" t="s">
        <v>102</v>
      </c>
    </row>
    <row r="73" spans="1:19" ht="15" customHeight="1" x14ac:dyDescent="0.2">
      <c r="A73" s="8" t="s">
        <v>103</v>
      </c>
      <c r="B73" s="13">
        <v>1050</v>
      </c>
      <c r="C73" s="13">
        <v>1050</v>
      </c>
      <c r="D73" s="13">
        <v>1100</v>
      </c>
      <c r="E73" s="13">
        <v>1100</v>
      </c>
      <c r="F73" s="13">
        <v>1150</v>
      </c>
      <c r="S73" s="4" t="s">
        <v>104</v>
      </c>
    </row>
    <row r="74" spans="1:19" ht="15" customHeight="1" x14ac:dyDescent="0.2">
      <c r="A74" s="8" t="s">
        <v>82</v>
      </c>
      <c r="B74" s="14">
        <f>B73*B61/1000</f>
        <v>36596.466666666667</v>
      </c>
      <c r="C74" s="14">
        <f>C73*C61/1000</f>
        <v>37179.799999999996</v>
      </c>
      <c r="D74" s="14">
        <f>D73*D61/1000</f>
        <v>39255.82222222221</v>
      </c>
      <c r="E74" s="14">
        <f>E73*E61/1000</f>
        <v>39561.377777777758</v>
      </c>
      <c r="F74" s="14">
        <f>F73*F61/1000</f>
        <v>41679.066666666651</v>
      </c>
      <c r="S74" s="1" t="s">
        <v>105</v>
      </c>
    </row>
    <row r="75" spans="1:19" ht="15" customHeight="1" x14ac:dyDescent="0.2">
      <c r="A75" s="8" t="s">
        <v>83</v>
      </c>
      <c r="B75" s="13">
        <v>30000</v>
      </c>
      <c r="C75" s="13">
        <v>20000</v>
      </c>
      <c r="D75" s="13">
        <v>15000</v>
      </c>
      <c r="E75" s="13">
        <v>10000</v>
      </c>
      <c r="F75" s="13">
        <v>5000</v>
      </c>
    </row>
    <row r="76" spans="1:19" ht="15" customHeight="1" x14ac:dyDescent="0.2">
      <c r="A76" s="3" t="s">
        <v>106</v>
      </c>
    </row>
    <row r="77" spans="1:19" ht="15" customHeight="1" x14ac:dyDescent="0.2">
      <c r="A77" s="8" t="s">
        <v>107</v>
      </c>
      <c r="B77" s="13">
        <v>49100</v>
      </c>
      <c r="C77" s="14">
        <f>B82</f>
        <v>49100</v>
      </c>
      <c r="D77" s="14">
        <f>C82</f>
        <v>49100</v>
      </c>
      <c r="E77" s="14">
        <f>D82</f>
        <v>49100</v>
      </c>
      <c r="F77" s="14">
        <f>E82</f>
        <v>49100</v>
      </c>
      <c r="S77" s="4" t="s">
        <v>108</v>
      </c>
    </row>
    <row r="78" spans="1:19" ht="15" customHeight="1" x14ac:dyDescent="0.2">
      <c r="A78" s="8" t="s">
        <v>109</v>
      </c>
      <c r="B78" s="13">
        <v>4200</v>
      </c>
      <c r="C78" s="13">
        <v>4200</v>
      </c>
      <c r="D78" s="13">
        <v>4200</v>
      </c>
      <c r="E78" s="13">
        <v>4200</v>
      </c>
      <c r="F78" s="13">
        <v>4200</v>
      </c>
    </row>
    <row r="79" spans="1:19" ht="15" customHeight="1" x14ac:dyDescent="0.2">
      <c r="A79" s="8" t="s">
        <v>110</v>
      </c>
      <c r="B79" s="12">
        <v>1.8</v>
      </c>
      <c r="C79" s="12">
        <v>1.85</v>
      </c>
      <c r="D79" s="12">
        <v>1.9</v>
      </c>
      <c r="E79" s="12">
        <v>1.95</v>
      </c>
      <c r="F79" s="12">
        <v>2</v>
      </c>
      <c r="S79" s="4" t="s">
        <v>94</v>
      </c>
    </row>
    <row r="80" spans="1:19" ht="15" customHeight="1" x14ac:dyDescent="0.2">
      <c r="A80" s="8" t="s">
        <v>111</v>
      </c>
      <c r="B80" s="14">
        <f>B106</f>
        <v>0</v>
      </c>
      <c r="C80" s="14">
        <f>C106</f>
        <v>0</v>
      </c>
      <c r="D80" s="14">
        <f>D106</f>
        <v>0</v>
      </c>
      <c r="E80" s="14">
        <f>E106</f>
        <v>0</v>
      </c>
      <c r="F80" s="14">
        <f>F106</f>
        <v>0</v>
      </c>
    </row>
    <row r="81" spans="1:19" ht="15" customHeight="1" x14ac:dyDescent="0.2">
      <c r="A81" s="8" t="s">
        <v>112</v>
      </c>
      <c r="B81" s="12">
        <v>62</v>
      </c>
      <c r="C81" s="12">
        <v>63</v>
      </c>
      <c r="D81" s="12">
        <v>65</v>
      </c>
      <c r="E81" s="12">
        <v>67</v>
      </c>
      <c r="F81" s="12">
        <v>69</v>
      </c>
      <c r="S81" s="4" t="s">
        <v>113</v>
      </c>
    </row>
    <row r="82" spans="1:19" ht="15" customHeight="1" x14ac:dyDescent="0.2">
      <c r="A82" s="8" t="s">
        <v>114</v>
      </c>
      <c r="B82" s="14">
        <f>B77-B80</f>
        <v>49100</v>
      </c>
      <c r="C82" s="14">
        <f>C77-C80</f>
        <v>49100</v>
      </c>
      <c r="D82" s="14">
        <f>D77-D80</f>
        <v>49100</v>
      </c>
      <c r="E82" s="14">
        <f>E77-E80</f>
        <v>49100</v>
      </c>
      <c r="F82" s="14">
        <f>F77-F80</f>
        <v>49100</v>
      </c>
    </row>
    <row r="83" spans="1:19" ht="15" customHeight="1" x14ac:dyDescent="0.2">
      <c r="A83" s="1" t="s">
        <v>115</v>
      </c>
      <c r="B83" s="14">
        <f>(B77+B82)/2+B78</f>
        <v>53300</v>
      </c>
      <c r="C83" s="14">
        <f>(C77+C82)/2+C78</f>
        <v>53300</v>
      </c>
      <c r="D83" s="14">
        <f>(D77+D82)/2+D78</f>
        <v>53300</v>
      </c>
      <c r="E83" s="14">
        <f>(E77+E82)/2+E78</f>
        <v>53300</v>
      </c>
      <c r="F83" s="14">
        <f>(F77+F82)/2+F78</f>
        <v>53300</v>
      </c>
    </row>
    <row r="84" spans="1:19" ht="15" customHeight="1" x14ac:dyDescent="0.2">
      <c r="A84" s="3" t="s">
        <v>116</v>
      </c>
      <c r="S84" s="4" t="s">
        <v>117</v>
      </c>
    </row>
    <row r="85" spans="1:19" ht="15" customHeight="1" x14ac:dyDescent="0.2">
      <c r="A85" s="8" t="s">
        <v>118</v>
      </c>
      <c r="B85" s="10">
        <v>4.7500000000000001E-2</v>
      </c>
      <c r="C85" s="10">
        <v>4.7500000000000001E-2</v>
      </c>
      <c r="D85" s="10">
        <v>4.4999999999999998E-2</v>
      </c>
      <c r="E85" s="10">
        <v>4.4999999999999998E-2</v>
      </c>
      <c r="F85" s="10">
        <v>4.4999999999999998E-2</v>
      </c>
      <c r="M85" s="19"/>
      <c r="N85" s="19"/>
      <c r="O85" s="19"/>
      <c r="P85" s="19"/>
      <c r="Q85" s="19"/>
    </row>
    <row r="86" spans="1:19" ht="15" customHeight="1" x14ac:dyDescent="0.2">
      <c r="A86" s="8" t="s">
        <v>119</v>
      </c>
      <c r="B86" s="12">
        <v>62</v>
      </c>
      <c r="C86" s="12">
        <v>62</v>
      </c>
      <c r="D86" s="12">
        <v>62</v>
      </c>
      <c r="E86" s="12">
        <v>62</v>
      </c>
      <c r="F86" s="12">
        <v>62</v>
      </c>
      <c r="M86" s="14"/>
      <c r="N86" s="14"/>
      <c r="O86" s="14"/>
      <c r="P86" s="14"/>
      <c r="Q86" s="14"/>
    </row>
    <row r="87" spans="1:19" ht="15" customHeight="1" x14ac:dyDescent="0.2">
      <c r="A87" s="8" t="s">
        <v>120</v>
      </c>
      <c r="B87" s="19">
        <f>IS!M20/B85-BS!L8-B23-B72-B75+B27</f>
        <v>1257845.3299015705</v>
      </c>
      <c r="C87" s="19">
        <f>IS!N20/C85-BS!M8-C23-C72-C75+C27</f>
        <v>188137.29160371781</v>
      </c>
      <c r="D87" s="19">
        <f>IS!O20/D85-BS!N8-D23-D72-D75+D27</f>
        <v>770430.89809330273</v>
      </c>
      <c r="E87" s="19">
        <f>IS!P20/E85-BS!O8-E23-E72-E75+E27</f>
        <v>176712.29865859478</v>
      </c>
      <c r="F87" s="19">
        <f>IS!Q20/F85-BS!P8-F23-F72-F75+F27</f>
        <v>117718.60886367213</v>
      </c>
      <c r="M87" s="14"/>
      <c r="N87" s="14"/>
      <c r="O87" s="14"/>
      <c r="P87" s="14"/>
      <c r="Q87" s="14"/>
    </row>
    <row r="88" spans="1:19" ht="15" customHeight="1" x14ac:dyDescent="0.2">
      <c r="A88" s="8" t="s">
        <v>121</v>
      </c>
      <c r="B88" s="13">
        <v>45000</v>
      </c>
      <c r="C88" s="13">
        <v>45000</v>
      </c>
      <c r="D88" s="13">
        <v>45000</v>
      </c>
      <c r="E88" s="13">
        <v>45000</v>
      </c>
      <c r="F88" s="13">
        <v>45000</v>
      </c>
      <c r="M88" s="14"/>
      <c r="N88" s="14"/>
      <c r="O88" s="14"/>
      <c r="P88" s="14"/>
      <c r="Q88" s="14"/>
    </row>
    <row r="89" spans="1:19" ht="15" customHeight="1" x14ac:dyDescent="0.2">
      <c r="A89" s="8" t="s">
        <v>122</v>
      </c>
      <c r="B89" s="13">
        <v>20000</v>
      </c>
      <c r="C89" s="13">
        <v>20000</v>
      </c>
      <c r="D89" s="13">
        <v>20000</v>
      </c>
      <c r="E89" s="13">
        <v>20000</v>
      </c>
      <c r="F89" s="13">
        <v>20000</v>
      </c>
      <c r="M89" s="14"/>
      <c r="N89" s="14"/>
      <c r="O89" s="14"/>
      <c r="P89" s="14"/>
      <c r="Q89" s="14"/>
      <c r="S89" s="4" t="s">
        <v>123</v>
      </c>
    </row>
    <row r="90" spans="1:19" ht="15" customHeight="1" x14ac:dyDescent="0.2">
      <c r="A90" s="8" t="s">
        <v>124</v>
      </c>
      <c r="B90" s="13">
        <v>301000</v>
      </c>
      <c r="C90" s="13">
        <v>301000</v>
      </c>
      <c r="D90" s="13">
        <v>301000</v>
      </c>
      <c r="E90" s="13">
        <v>301000</v>
      </c>
      <c r="F90" s="13">
        <v>301000</v>
      </c>
      <c r="M90" s="14"/>
      <c r="N90" s="14"/>
      <c r="O90" s="14"/>
      <c r="P90" s="14"/>
      <c r="Q90" s="14"/>
    </row>
    <row r="91" spans="1:19" ht="15" customHeight="1" x14ac:dyDescent="0.2">
      <c r="A91" s="8" t="s">
        <v>125</v>
      </c>
      <c r="B91" s="13">
        <v>12500</v>
      </c>
      <c r="C91" s="13">
        <v>12500</v>
      </c>
      <c r="D91" s="13">
        <v>12500</v>
      </c>
      <c r="E91" s="13">
        <v>12500</v>
      </c>
      <c r="F91" s="13">
        <v>12500</v>
      </c>
    </row>
    <row r="92" spans="1:19" ht="15" customHeight="1" x14ac:dyDescent="0.2">
      <c r="A92" s="3" t="s">
        <v>126</v>
      </c>
      <c r="B92" s="13">
        <v>66000</v>
      </c>
      <c r="C92" s="13">
        <v>66000</v>
      </c>
      <c r="D92" s="13">
        <v>66000</v>
      </c>
      <c r="E92" s="13">
        <v>66000</v>
      </c>
      <c r="F92" s="13">
        <v>66000</v>
      </c>
      <c r="M92" s="14"/>
      <c r="N92" s="14"/>
      <c r="O92" s="14"/>
      <c r="P92" s="14"/>
      <c r="Q92" s="14"/>
    </row>
    <row r="93" spans="1:19" ht="15" customHeight="1" x14ac:dyDescent="0.2">
      <c r="A93" s="8" t="s">
        <v>127</v>
      </c>
      <c r="B93" s="13">
        <v>-5000</v>
      </c>
      <c r="C93" s="13">
        <v>-5000</v>
      </c>
      <c r="D93" s="13">
        <v>-5000</v>
      </c>
      <c r="E93" s="13">
        <v>-5000</v>
      </c>
      <c r="F93" s="13">
        <v>-5000</v>
      </c>
    </row>
    <row r="94" spans="1:19" ht="15" customHeight="1" x14ac:dyDescent="0.2">
      <c r="A94" s="3" t="s">
        <v>128</v>
      </c>
      <c r="B94" s="14"/>
      <c r="C94" s="14"/>
      <c r="D94" s="14"/>
      <c r="E94" s="14"/>
      <c r="F94" s="14"/>
      <c r="H94" s="4" t="s">
        <v>117</v>
      </c>
    </row>
    <row r="95" spans="1:19" ht="15" customHeight="1" x14ac:dyDescent="0.2">
      <c r="A95" s="8" t="s">
        <v>129</v>
      </c>
      <c r="B95" s="19">
        <f>CFS!M18</f>
        <v>246999.18530640006</v>
      </c>
      <c r="C95" s="19">
        <f>CFS!N18</f>
        <v>265791.45996257965</v>
      </c>
      <c r="D95" s="19">
        <f>CFS!O18</f>
        <v>287224.20477178949</v>
      </c>
      <c r="E95" s="19">
        <f>CFS!P18</f>
        <v>306693.27891450166</v>
      </c>
      <c r="F95" s="19">
        <f>CFS!Q18</f>
        <v>323932.91590286844</v>
      </c>
    </row>
    <row r="96" spans="1:19" ht="15" customHeight="1" x14ac:dyDescent="0.2">
      <c r="A96" s="8" t="s">
        <v>130</v>
      </c>
      <c r="B96" s="14">
        <f>B27*B31</f>
        <v>30000</v>
      </c>
      <c r="C96" s="14">
        <f>C27*C31</f>
        <v>30000</v>
      </c>
      <c r="D96" s="14">
        <f>D27*D31</f>
        <v>30000</v>
      </c>
      <c r="E96" s="14">
        <f>E27*E31</f>
        <v>30000</v>
      </c>
      <c r="F96" s="14">
        <f>F27*F31</f>
        <v>30000</v>
      </c>
    </row>
    <row r="97" spans="1:6" ht="15" customHeight="1" x14ac:dyDescent="0.2">
      <c r="A97" s="8" t="s">
        <v>131</v>
      </c>
      <c r="B97" s="14">
        <f>-B23*(1-B41)</f>
        <v>-50000</v>
      </c>
      <c r="C97" s="14">
        <f>-C23*(1-C41)</f>
        <v>-75000</v>
      </c>
      <c r="D97" s="14">
        <f>-D23*(1-D41)</f>
        <v>-50000</v>
      </c>
      <c r="E97" s="14">
        <f>-E23*(1-E41)</f>
        <v>-50000</v>
      </c>
      <c r="F97" s="14">
        <f>-F23*(1-F41)</f>
        <v>-50000</v>
      </c>
    </row>
    <row r="98" spans="1:6" ht="15" customHeight="1" x14ac:dyDescent="0.2">
      <c r="A98" s="8" t="s">
        <v>132</v>
      </c>
      <c r="B98" s="14">
        <f>-B72</f>
        <v>-155099.31111111108</v>
      </c>
      <c r="C98" s="14">
        <f>-C72</f>
        <v>-162528.84</v>
      </c>
      <c r="D98" s="14">
        <f>-D72</f>
        <v>-168800.03555555551</v>
      </c>
      <c r="E98" s="14">
        <f>-E72</f>
        <v>-175149.00888888881</v>
      </c>
      <c r="F98" s="14">
        <f>-F72</f>
        <v>-181575.75999999989</v>
      </c>
    </row>
    <row r="99" spans="1:6" ht="15" customHeight="1" x14ac:dyDescent="0.2">
      <c r="A99" s="8" t="s">
        <v>133</v>
      </c>
      <c r="B99" s="14">
        <f>-B75</f>
        <v>-30000</v>
      </c>
      <c r="C99" s="14">
        <f>-C75</f>
        <v>-20000</v>
      </c>
      <c r="D99" s="14">
        <f>-D75</f>
        <v>-15000</v>
      </c>
      <c r="E99" s="14">
        <f>-E75</f>
        <v>-10000</v>
      </c>
      <c r="F99" s="14">
        <f>-F75</f>
        <v>-5000</v>
      </c>
    </row>
    <row r="100" spans="1:6" ht="15" customHeight="1" x14ac:dyDescent="0.2">
      <c r="A100" s="8" t="s">
        <v>134</v>
      </c>
      <c r="B100" s="14">
        <f>-B43</f>
        <v>-80000</v>
      </c>
      <c r="C100" s="14">
        <f>-C43</f>
        <v>-82000</v>
      </c>
      <c r="D100" s="14">
        <f>-D43</f>
        <v>-84000</v>
      </c>
      <c r="E100" s="14">
        <f>-E43</f>
        <v>-86000</v>
      </c>
      <c r="F100" s="14">
        <f>-F43</f>
        <v>-88000</v>
      </c>
    </row>
    <row r="101" spans="1:6" ht="15" customHeight="1" x14ac:dyDescent="0.2">
      <c r="A101" s="8" t="s">
        <v>135</v>
      </c>
      <c r="B101" s="14">
        <f>-(B77+B78)*B79</f>
        <v>-95940</v>
      </c>
      <c r="C101" s="14">
        <f>-(C77+C78)*C79</f>
        <v>-98605</v>
      </c>
      <c r="D101" s="14">
        <f>-(D77+D78)*D79</f>
        <v>-101270</v>
      </c>
      <c r="E101" s="14">
        <f>-(E77+E78)*E79</f>
        <v>-103935</v>
      </c>
      <c r="F101" s="14">
        <f>-(F77+F78)*F79</f>
        <v>-106600</v>
      </c>
    </row>
    <row r="102" spans="1:6" ht="15" customHeight="1" x14ac:dyDescent="0.2">
      <c r="A102" s="8" t="s">
        <v>136</v>
      </c>
      <c r="B102" s="13">
        <v>-8500</v>
      </c>
      <c r="C102" s="13">
        <v>-8500</v>
      </c>
      <c r="D102" s="13">
        <v>-8500</v>
      </c>
      <c r="E102" s="13">
        <v>-8500</v>
      </c>
      <c r="F102" s="13">
        <v>-8500</v>
      </c>
    </row>
    <row r="103" spans="1:6" ht="15" customHeight="1" x14ac:dyDescent="0.2">
      <c r="A103" s="3" t="s">
        <v>137</v>
      </c>
      <c r="B103" s="14">
        <f>SUM(B95:B102)</f>
        <v>-142540.12580471102</v>
      </c>
      <c r="C103" s="14">
        <f>SUM(C95:C102)</f>
        <v>-150842.38003742034</v>
      </c>
      <c r="D103" s="14">
        <f>SUM(D95:D102)</f>
        <v>-110345.83078376602</v>
      </c>
      <c r="E103" s="14">
        <f>SUM(E95:E102)</f>
        <v>-96890.729974387155</v>
      </c>
      <c r="F103" s="14">
        <f>SUM(F95:F102)</f>
        <v>-85742.844097131456</v>
      </c>
    </row>
    <row r="104" spans="1:6" ht="15" customHeight="1" x14ac:dyDescent="0.2">
      <c r="A104" s="8" t="s">
        <v>138</v>
      </c>
      <c r="B104" s="10">
        <v>1</v>
      </c>
      <c r="C104" s="10">
        <v>1</v>
      </c>
      <c r="D104" s="10">
        <v>1</v>
      </c>
      <c r="E104" s="10">
        <v>1</v>
      </c>
      <c r="F104" s="10">
        <v>1</v>
      </c>
    </row>
    <row r="105" spans="1:6" ht="15" customHeight="1" x14ac:dyDescent="0.2">
      <c r="A105" s="8" t="s">
        <v>139</v>
      </c>
      <c r="B105" s="14">
        <f>IF(B103&gt;0,B103*B104,0)</f>
        <v>0</v>
      </c>
      <c r="C105" s="14">
        <f>IF(C103&gt;0,C103*C104,0)</f>
        <v>0</v>
      </c>
      <c r="D105" s="14">
        <f>IF(D103&gt;0,D103*D104,0)</f>
        <v>0</v>
      </c>
      <c r="E105" s="14">
        <f>IF(E103&gt;0,E103*E104,0)</f>
        <v>0</v>
      </c>
      <c r="F105" s="14">
        <f>IF(F103&gt;0,F103*F104,0)</f>
        <v>0</v>
      </c>
    </row>
    <row r="106" spans="1:6" ht="15" customHeight="1" x14ac:dyDescent="0.2">
      <c r="A106" s="8" t="s">
        <v>140</v>
      </c>
      <c r="B106" s="14">
        <f>IF(B81&gt;0,B105/B81,0)</f>
        <v>0</v>
      </c>
      <c r="C106" s="14">
        <f>IF(C81&gt;0,C105/C81,0)</f>
        <v>0</v>
      </c>
      <c r="D106" s="14">
        <f>IF(D81&gt;0,D105/D81,0)</f>
        <v>0</v>
      </c>
      <c r="E106" s="14">
        <f>IF(E81&gt;0,E105/E81,0)</f>
        <v>0</v>
      </c>
      <c r="F106" s="14">
        <f>IF(F81&gt;0,F105/F81,0)</f>
        <v>0</v>
      </c>
    </row>
    <row r="107" spans="1:6" ht="15" customHeight="1" x14ac:dyDescent="0.2">
      <c r="A107" s="8" t="s">
        <v>141</v>
      </c>
      <c r="B107" s="14">
        <f>B103-B105</f>
        <v>-142540.12580471102</v>
      </c>
      <c r="C107" s="14">
        <f>C103-C105</f>
        <v>-150842.38003742034</v>
      </c>
      <c r="D107" s="14">
        <f>D103-D105</f>
        <v>-110345.83078376602</v>
      </c>
      <c r="E107" s="14">
        <f>E103-E105</f>
        <v>-96890.729974387155</v>
      </c>
      <c r="F107" s="14">
        <f>F103-F105</f>
        <v>-85742.844097131456</v>
      </c>
    </row>
    <row r="108" spans="1:6" ht="15" customHeight="1" x14ac:dyDescent="0.2">
      <c r="A108" s="8" t="s">
        <v>142</v>
      </c>
      <c r="B108" s="14">
        <f>MAX(0,0-B107)</f>
        <v>142540.12580471102</v>
      </c>
      <c r="C108" s="14">
        <f>MAX(0,B108-C107)</f>
        <v>293382.50584213133</v>
      </c>
      <c r="D108" s="14">
        <f>MAX(0,C108-D107)</f>
        <v>403728.33662589733</v>
      </c>
      <c r="E108" s="14">
        <f>MAX(0,D108-E107)</f>
        <v>500619.06660028448</v>
      </c>
      <c r="F108" s="14">
        <f>MAX(0,E108-F107)</f>
        <v>586361.91069741594</v>
      </c>
    </row>
    <row r="110" spans="1:6" ht="15" customHeight="1" x14ac:dyDescent="0.2">
      <c r="A110" s="20" t="s">
        <v>143</v>
      </c>
    </row>
    <row r="111" spans="1:6" ht="15" customHeight="1" x14ac:dyDescent="0.2">
      <c r="A111" s="1" t="s">
        <v>144</v>
      </c>
    </row>
    <row r="112" spans="1:6" ht="15" customHeight="1" x14ac:dyDescent="0.2">
      <c r="A112" s="1" t="s">
        <v>145</v>
      </c>
    </row>
    <row r="113" spans="1:1" ht="15" customHeight="1" x14ac:dyDescent="0.2">
      <c r="A113" s="1" t="s">
        <v>146</v>
      </c>
    </row>
    <row r="114" spans="1:1" ht="15" customHeight="1" x14ac:dyDescent="0.2">
      <c r="A114" s="1" t="s">
        <v>147</v>
      </c>
    </row>
    <row r="115" spans="1:1" ht="15" customHeight="1" x14ac:dyDescent="0.2">
      <c r="A115" s="1" t="s">
        <v>148</v>
      </c>
    </row>
    <row r="116" spans="1:1" ht="15" customHeight="1" x14ac:dyDescent="0.2">
      <c r="A116" s="1" t="s">
        <v>149</v>
      </c>
    </row>
    <row r="117" spans="1:1" ht="15" customHeight="1" x14ac:dyDescent="0.2">
      <c r="A117" s="1" t="s">
        <v>150</v>
      </c>
    </row>
    <row r="118" spans="1:1" ht="15" customHeight="1" x14ac:dyDescent="0.2">
      <c r="A118" s="1" t="s">
        <v>151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6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517</v>
      </c>
    </row>
    <row r="3" spans="1:17" ht="15" customHeight="1" x14ac:dyDescent="0.2">
      <c r="A3" s="4" t="s">
        <v>518</v>
      </c>
    </row>
    <row r="5" spans="1:17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7" ht="15" customHeight="1" x14ac:dyDescent="0.2">
      <c r="A7" s="3" t="s">
        <v>519</v>
      </c>
    </row>
    <row r="8" spans="1:17" ht="15" customHeight="1" x14ac:dyDescent="0.2">
      <c r="A8" s="4" t="s">
        <v>520</v>
      </c>
    </row>
    <row r="9" spans="1:17" ht="15" customHeight="1" x14ac:dyDescent="0.2">
      <c r="A9" s="8" t="s">
        <v>331</v>
      </c>
      <c r="H9" s="24">
        <v>4</v>
      </c>
      <c r="I9" s="24">
        <v>6</v>
      </c>
      <c r="J9" s="24">
        <v>8</v>
      </c>
      <c r="K9" s="24">
        <v>10</v>
      </c>
      <c r="L9" s="24">
        <v>12</v>
      </c>
    </row>
    <row r="10" spans="1:17" ht="15" customHeight="1" x14ac:dyDescent="0.2">
      <c r="A10" s="8" t="s">
        <v>521</v>
      </c>
      <c r="H10" s="35">
        <v>0.95</v>
      </c>
      <c r="I10" s="35">
        <v>1.08</v>
      </c>
      <c r="J10" s="35">
        <v>1.25</v>
      </c>
      <c r="K10" s="35">
        <v>1.46</v>
      </c>
      <c r="L10" s="35">
        <v>1.75</v>
      </c>
    </row>
    <row r="12" spans="1:17" ht="15" customHeight="1" x14ac:dyDescent="0.2">
      <c r="A12" s="3" t="s">
        <v>522</v>
      </c>
    </row>
    <row r="13" spans="1:17" ht="15" customHeight="1" x14ac:dyDescent="0.2">
      <c r="A13" s="8" t="s">
        <v>523</v>
      </c>
      <c r="B13" s="26">
        <f>BS!B55</f>
        <v>7.7897816644023044</v>
      </c>
      <c r="C13" s="26">
        <f>BS!C55</f>
        <v>10.661842009199095</v>
      </c>
      <c r="D13" s="26">
        <f>BS!D55</f>
        <v>13.81089440062185</v>
      </c>
      <c r="E13" s="26">
        <f>BS!E55</f>
        <v>14.244624612818047</v>
      </c>
      <c r="F13" s="26">
        <f>BS!F55</f>
        <v>12.293920453513092</v>
      </c>
      <c r="G13" s="26">
        <f>BS!G55</f>
        <v>12.201351496299475</v>
      </c>
      <c r="H13" s="26">
        <f>BS!H55</f>
        <v>12.088945399032598</v>
      </c>
      <c r="I13" s="26">
        <f>BS!I55</f>
        <v>12.474258367164968</v>
      </c>
      <c r="J13" s="26">
        <f>BS!J55</f>
        <v>11.183094199446913</v>
      </c>
      <c r="K13" s="26">
        <f>BS!K55</f>
        <v>9.5634659880370805</v>
      </c>
      <c r="L13" s="26">
        <f>BS!L55</f>
        <v>9.2652765415034111</v>
      </c>
      <c r="M13" s="26">
        <f>BS!M55</f>
        <v>9.5868207641896408</v>
      </c>
      <c r="N13" s="26">
        <f>BS!N55</f>
        <v>9.4311741996277014</v>
      </c>
      <c r="O13" s="26">
        <f>BS!O55</f>
        <v>9.1263247133675893</v>
      </c>
      <c r="P13" s="26">
        <f>BS!P55</f>
        <v>8.8847545712175116</v>
      </c>
      <c r="Q13" s="26">
        <f>BS!Q55</f>
        <v>8.6831835988014259</v>
      </c>
    </row>
    <row r="14" spans="1:17" ht="15" customHeight="1" x14ac:dyDescent="0.2">
      <c r="A14" s="8" t="s">
        <v>524</v>
      </c>
      <c r="B14" s="28">
        <f>Ops!B15</f>
        <v>1.7999999999999999E-2</v>
      </c>
      <c r="C14" s="28">
        <f>Ops!C15</f>
        <v>-6.4000000000000001E-2</v>
      </c>
      <c r="D14" s="28">
        <f>Ops!D15</f>
        <v>-0.154</v>
      </c>
      <c r="E14" s="28">
        <f>Ops!E15</f>
        <v>5.5E-2</v>
      </c>
      <c r="F14" s="28">
        <f>Ops!F15</f>
        <v>8.2000000000000003E-2</v>
      </c>
      <c r="G14" s="28">
        <f>Ops!G15</f>
        <v>0.02</v>
      </c>
      <c r="H14" s="28">
        <f>Ops!H15</f>
        <v>1E-3</v>
      </c>
      <c r="I14" s="28">
        <f>Ops!I15</f>
        <v>7.0000000000000007E-2</v>
      </c>
      <c r="J14" s="28">
        <f>Ops!J15</f>
        <v>0.13700000000000001</v>
      </c>
      <c r="K14" s="28">
        <f>Ops!K15</f>
        <v>0.13</v>
      </c>
      <c r="L14" s="28">
        <f>Ops!L15</f>
        <v>0.09</v>
      </c>
      <c r="M14" s="28">
        <f>Ops!M15</f>
        <v>3.5999999999999997E-2</v>
      </c>
      <c r="N14" s="28">
        <f>Ops!N15</f>
        <v>3.8999999999999993E-2</v>
      </c>
      <c r="O14" s="28">
        <f>Ops!O15</f>
        <v>3.5999999999999997E-2</v>
      </c>
      <c r="P14" s="28">
        <f>Ops!P15</f>
        <v>3.5999999999999997E-2</v>
      </c>
      <c r="Q14" s="28">
        <f>Ops!Q15</f>
        <v>3.5999999999999997E-2</v>
      </c>
    </row>
    <row r="15" spans="1:17" ht="15" customHeight="1" x14ac:dyDescent="0.2">
      <c r="A15" s="8" t="s">
        <v>393</v>
      </c>
      <c r="B15" s="22">
        <f>'CFS-FCF'!B11</f>
        <v>1.6096160884556854</v>
      </c>
      <c r="C15" s="22">
        <f>'CFS-FCF'!C11</f>
        <v>0.70952268151131115</v>
      </c>
      <c r="D15" s="22">
        <f>'CFS-FCF'!D11</f>
        <v>-1.7345954775352763</v>
      </c>
      <c r="E15" s="22">
        <f>'CFS-FCF'!E11</f>
        <v>-0.20882127182192131</v>
      </c>
      <c r="F15" s="22">
        <f>'CFS-FCF'!F11</f>
        <v>0.84612062195696558</v>
      </c>
      <c r="G15" s="22">
        <f>'CFS-FCF'!G11</f>
        <v>0.63571848657126051</v>
      </c>
      <c r="H15" s="22">
        <f>'CFS-FCF'!H11</f>
        <v>0.46087791871703881</v>
      </c>
      <c r="I15" s="22">
        <f>'CFS-FCF'!I11</f>
        <v>0.51915392720116094</v>
      </c>
      <c r="J15" s="22">
        <f>'CFS-FCF'!J11</f>
        <v>1.2106558678735906</v>
      </c>
      <c r="K15" s="22">
        <f>'CFS-FCF'!K11</f>
        <v>1.7090578769789775</v>
      </c>
      <c r="L15" s="22">
        <f>'CFS-FCF'!L11</f>
        <v>1.8600684519332029</v>
      </c>
      <c r="M15" s="22">
        <f>'CFS-FCF'!M11</f>
        <v>1.7242002663281235</v>
      </c>
      <c r="N15" s="22">
        <f>'CFS-FCF'!N11</f>
        <v>1.9373849899170668</v>
      </c>
      <c r="O15" s="22">
        <f>'CFS-FCF'!O11</f>
        <v>2.2218418239443523</v>
      </c>
      <c r="P15" s="22">
        <f>'CFS-FCF'!P11</f>
        <v>2.4679975614561509</v>
      </c>
      <c r="Q15" s="22">
        <f>'CFS-FCF'!Q11</f>
        <v>2.6708659644065391</v>
      </c>
    </row>
    <row r="16" spans="1:17" ht="15" customHeight="1" x14ac:dyDescent="0.2">
      <c r="A16" s="8" t="s">
        <v>525</v>
      </c>
      <c r="C16" s="9">
        <f t="shared" ref="C16:Q16" si="0">IF(B15&lt;&gt;0,C15/B15-1,0)</f>
        <v>-0.5591975710232564</v>
      </c>
      <c r="D16" s="9">
        <f t="shared" si="0"/>
        <v>-3.4447357677706933</v>
      </c>
      <c r="E16" s="9">
        <f t="shared" si="0"/>
        <v>-0.87961384972671564</v>
      </c>
      <c r="F16" s="9">
        <f t="shared" si="0"/>
        <v>-5.0518890368531073</v>
      </c>
      <c r="G16" s="9">
        <f t="shared" si="0"/>
        <v>-0.2486668329854349</v>
      </c>
      <c r="H16" s="9">
        <f t="shared" si="0"/>
        <v>-0.27502828932539314</v>
      </c>
      <c r="I16" s="9">
        <f t="shared" si="0"/>
        <v>0.12644565104430905</v>
      </c>
      <c r="J16" s="9">
        <f t="shared" si="0"/>
        <v>1.3319786376276177</v>
      </c>
      <c r="K16" s="9">
        <f t="shared" si="0"/>
        <v>0.41167934037340093</v>
      </c>
      <c r="L16" s="9">
        <f t="shared" si="0"/>
        <v>8.8358959043072227E-2</v>
      </c>
      <c r="M16" s="9">
        <f t="shared" si="0"/>
        <v>-7.3044723415350177E-2</v>
      </c>
      <c r="N16" s="9">
        <f t="shared" si="0"/>
        <v>0.12364266944636526</v>
      </c>
      <c r="O16" s="9">
        <f t="shared" si="0"/>
        <v>0.14682514601264773</v>
      </c>
      <c r="P16" s="9">
        <f t="shared" si="0"/>
        <v>0.11078904666346023</v>
      </c>
      <c r="Q16" s="9">
        <f t="shared" si="0"/>
        <v>8.2199596190319246E-2</v>
      </c>
    </row>
    <row r="17" spans="1:17" ht="15" customHeight="1" x14ac:dyDescent="0.2">
      <c r="A17" s="8" t="s">
        <v>526</v>
      </c>
      <c r="B17" s="22">
        <f>FFO_AFFO!B29</f>
        <v>3.3182632481266734</v>
      </c>
      <c r="C17" s="22">
        <f>FFO_AFFO!C29</f>
        <v>2.6012870622606497</v>
      </c>
      <c r="D17" s="22">
        <f>FFO_AFFO!D29</f>
        <v>1.6687265069962411</v>
      </c>
      <c r="E17" s="22">
        <f>FFO_AFFO!E29</f>
        <v>1.7317601212383633</v>
      </c>
      <c r="F17" s="22">
        <f>FFO_AFFO!F29</f>
        <v>2.2208065022773678</v>
      </c>
      <c r="G17" s="22">
        <f>FFO_AFFO!G29</f>
        <v>2.4728092530876298</v>
      </c>
      <c r="H17" s="22">
        <f>FFO_AFFO!H29</f>
        <v>2.4233340521889151</v>
      </c>
      <c r="I17" s="22">
        <f>FFO_AFFO!I29</f>
        <v>2.595332286344751</v>
      </c>
      <c r="J17" s="22">
        <f>FFO_AFFO!J29</f>
        <v>3.0348578688264252</v>
      </c>
      <c r="K17" s="22">
        <f>FFO_AFFO!K29</f>
        <v>3.7375870949709515</v>
      </c>
      <c r="L17" s="22">
        <f>FFO_AFFO!L29</f>
        <v>3.9988716714307206</v>
      </c>
      <c r="M17" s="22">
        <f>FFO_AFFO!M29</f>
        <v>4.0075556968055048</v>
      </c>
      <c r="N17" s="22">
        <f>FFO_AFFO!N29</f>
        <v>4.3491868660896751</v>
      </c>
      <c r="O17" s="22">
        <f>FFO_AFFO!O29</f>
        <v>4.7123523930500424</v>
      </c>
      <c r="P17" s="22">
        <f>FFO_AFFO!P29</f>
        <v>5.0718930794882535</v>
      </c>
      <c r="Q17" s="22">
        <f>FFO_AFFO!Q29</f>
        <v>5.3556069275084761</v>
      </c>
    </row>
    <row r="18" spans="1:17" ht="15" customHeight="1" x14ac:dyDescent="0.2">
      <c r="A18" s="8" t="s">
        <v>527</v>
      </c>
      <c r="C18" s="9">
        <f t="shared" ref="C18:Q18" si="1">IF(B17&lt;&gt;0,C17/B17-1,0)</f>
        <v>-0.21606971245298057</v>
      </c>
      <c r="D18" s="9">
        <f t="shared" si="1"/>
        <v>-0.35849967071837363</v>
      </c>
      <c r="E18" s="9">
        <f t="shared" si="1"/>
        <v>3.7773484137664015E-2</v>
      </c>
      <c r="F18" s="9">
        <f t="shared" si="1"/>
        <v>0.28239845405915265</v>
      </c>
      <c r="G18" s="9">
        <f t="shared" si="1"/>
        <v>0.11347352889675033</v>
      </c>
      <c r="H18" s="9">
        <f t="shared" si="1"/>
        <v>-2.0007689973231213E-2</v>
      </c>
      <c r="I18" s="9">
        <f t="shared" si="1"/>
        <v>7.097586649289056E-2</v>
      </c>
      <c r="J18" s="9">
        <f t="shared" si="1"/>
        <v>0.16935233487990042</v>
      </c>
      <c r="K18" s="9">
        <f t="shared" si="1"/>
        <v>0.23155259867779932</v>
      </c>
      <c r="L18" s="9">
        <f t="shared" si="1"/>
        <v>6.9907287728849576E-2</v>
      </c>
      <c r="M18" s="9">
        <f t="shared" si="1"/>
        <v>2.1716189186129498E-3</v>
      </c>
      <c r="N18" s="9">
        <f t="shared" si="1"/>
        <v>8.5246767638561094E-2</v>
      </c>
      <c r="O18" s="9">
        <f t="shared" si="1"/>
        <v>8.3501936831444246E-2</v>
      </c>
      <c r="P18" s="9">
        <f t="shared" si="1"/>
        <v>7.6297495698427698E-2</v>
      </c>
      <c r="Q18" s="9">
        <f t="shared" si="1"/>
        <v>5.5938452087568313E-2</v>
      </c>
    </row>
    <row r="20" spans="1:17" ht="15" customHeight="1" x14ac:dyDescent="0.2">
      <c r="A20" s="3" t="s">
        <v>528</v>
      </c>
    </row>
    <row r="22" spans="1:17" ht="15" customHeight="1" x14ac:dyDescent="0.2">
      <c r="A22" s="8" t="s">
        <v>529</v>
      </c>
      <c r="B22" s="9">
        <f t="shared" ref="B22:Q22" si="2">B14*1.2</f>
        <v>2.1599999999999998E-2</v>
      </c>
      <c r="C22" s="9">
        <f t="shared" si="2"/>
        <v>-7.6799999999999993E-2</v>
      </c>
      <c r="D22" s="9">
        <f t="shared" si="2"/>
        <v>-0.18479999999999999</v>
      </c>
      <c r="E22" s="9">
        <f t="shared" si="2"/>
        <v>6.6000000000000003E-2</v>
      </c>
      <c r="F22" s="9">
        <f t="shared" si="2"/>
        <v>9.8400000000000001E-2</v>
      </c>
      <c r="G22" s="9">
        <f t="shared" si="2"/>
        <v>2.4E-2</v>
      </c>
      <c r="H22" s="9">
        <f t="shared" si="2"/>
        <v>1.1999999999999999E-3</v>
      </c>
      <c r="I22" s="9">
        <f t="shared" si="2"/>
        <v>8.4000000000000005E-2</v>
      </c>
      <c r="J22" s="9">
        <f t="shared" si="2"/>
        <v>0.16440000000000002</v>
      </c>
      <c r="K22" s="9">
        <f t="shared" si="2"/>
        <v>0.156</v>
      </c>
      <c r="L22" s="9">
        <f t="shared" si="2"/>
        <v>0.108</v>
      </c>
      <c r="M22" s="9">
        <f t="shared" si="2"/>
        <v>4.3199999999999995E-2</v>
      </c>
      <c r="N22" s="9">
        <f t="shared" si="2"/>
        <v>4.6799999999999987E-2</v>
      </c>
      <c r="O22" s="9">
        <f t="shared" si="2"/>
        <v>4.3199999999999995E-2</v>
      </c>
      <c r="P22" s="9">
        <f t="shared" si="2"/>
        <v>4.3199999999999995E-2</v>
      </c>
      <c r="Q22" s="9">
        <f t="shared" si="2"/>
        <v>4.3199999999999995E-2</v>
      </c>
    </row>
    <row r="23" spans="1:17" ht="15" customHeight="1" x14ac:dyDescent="0.2">
      <c r="A23" s="8" t="s">
        <v>530</v>
      </c>
      <c r="B23" s="9">
        <f t="shared" ref="B23:Q23" si="3">B18</f>
        <v>0</v>
      </c>
      <c r="C23" s="9">
        <f t="shared" si="3"/>
        <v>-0.21606971245298057</v>
      </c>
      <c r="D23" s="9">
        <f t="shared" si="3"/>
        <v>-0.35849967071837363</v>
      </c>
      <c r="E23" s="9">
        <f t="shared" si="3"/>
        <v>3.7773484137664015E-2</v>
      </c>
      <c r="F23" s="9">
        <f t="shared" si="3"/>
        <v>0.28239845405915265</v>
      </c>
      <c r="G23" s="9">
        <f t="shared" si="3"/>
        <v>0.11347352889675033</v>
      </c>
      <c r="H23" s="9">
        <f t="shared" si="3"/>
        <v>-2.0007689973231213E-2</v>
      </c>
      <c r="I23" s="9">
        <f t="shared" si="3"/>
        <v>7.097586649289056E-2</v>
      </c>
      <c r="J23" s="9">
        <f t="shared" si="3"/>
        <v>0.16935233487990042</v>
      </c>
      <c r="K23" s="9">
        <f t="shared" si="3"/>
        <v>0.23155259867779932</v>
      </c>
      <c r="L23" s="9">
        <f t="shared" si="3"/>
        <v>6.9907287728849576E-2</v>
      </c>
      <c r="M23" s="9">
        <f t="shared" si="3"/>
        <v>2.1716189186129498E-3</v>
      </c>
      <c r="N23" s="9">
        <f t="shared" si="3"/>
        <v>8.5246767638561094E-2</v>
      </c>
      <c r="O23" s="9">
        <f t="shared" si="3"/>
        <v>8.3501936831444246E-2</v>
      </c>
      <c r="P23" s="9">
        <f t="shared" si="3"/>
        <v>7.6297495698427698E-2</v>
      </c>
      <c r="Q23" s="9">
        <f t="shared" si="3"/>
        <v>5.5938452087568313E-2</v>
      </c>
    </row>
    <row r="24" spans="1:17" ht="15" customHeight="1" x14ac:dyDescent="0.2">
      <c r="A24" s="8" t="s">
        <v>531</v>
      </c>
      <c r="B24" s="14">
        <f t="shared" ref="B24:Q24" si="4">(B22-B23)*10000</f>
        <v>215.99999999999997</v>
      </c>
      <c r="C24" s="14">
        <f t="shared" si="4"/>
        <v>1392.6971245298059</v>
      </c>
      <c r="D24" s="14">
        <f t="shared" si="4"/>
        <v>1736.9967071837364</v>
      </c>
      <c r="E24" s="14">
        <f t="shared" si="4"/>
        <v>282.26515862335987</v>
      </c>
      <c r="F24" s="14">
        <f t="shared" si="4"/>
        <v>-1839.9845405915266</v>
      </c>
      <c r="G24" s="14">
        <f t="shared" si="4"/>
        <v>-894.73528896750338</v>
      </c>
      <c r="H24" s="14">
        <f t="shared" si="4"/>
        <v>212.07689973231211</v>
      </c>
      <c r="I24" s="14">
        <f t="shared" si="4"/>
        <v>130.24133507109445</v>
      </c>
      <c r="J24" s="14">
        <f t="shared" si="4"/>
        <v>-49.523348799004054</v>
      </c>
      <c r="K24" s="14">
        <f t="shared" si="4"/>
        <v>-755.52598677799313</v>
      </c>
      <c r="L24" s="14">
        <f t="shared" si="4"/>
        <v>380.92712271150424</v>
      </c>
      <c r="M24" s="14">
        <f t="shared" si="4"/>
        <v>410.28381081387045</v>
      </c>
      <c r="N24" s="14">
        <f t="shared" si="4"/>
        <v>-384.46767638561107</v>
      </c>
      <c r="O24" s="14">
        <f t="shared" si="4"/>
        <v>-403.01936831444249</v>
      </c>
      <c r="P24" s="14">
        <f t="shared" si="4"/>
        <v>-330.97495698427701</v>
      </c>
      <c r="Q24" s="14">
        <f t="shared" si="4"/>
        <v>-127.38452087568318</v>
      </c>
    </row>
    <row r="25" spans="1:17" ht="15" customHeight="1" x14ac:dyDescent="0.2">
      <c r="A25" s="8" t="s">
        <v>532</v>
      </c>
      <c r="B25" s="35">
        <f t="shared" ref="B25:Q25" si="5">IF(B14&lt;&gt;0,B18/B14,0)</f>
        <v>0</v>
      </c>
      <c r="C25" s="35">
        <f t="shared" si="5"/>
        <v>3.3760892570778211</v>
      </c>
      <c r="D25" s="35">
        <f t="shared" si="5"/>
        <v>2.327919939729699</v>
      </c>
      <c r="E25" s="35">
        <f t="shared" si="5"/>
        <v>0.68679062068480023</v>
      </c>
      <c r="F25" s="35">
        <f t="shared" si="5"/>
        <v>3.4438835860872272</v>
      </c>
      <c r="G25" s="35">
        <f t="shared" si="5"/>
        <v>5.6736764448375165</v>
      </c>
      <c r="H25" s="35">
        <f t="shared" si="5"/>
        <v>-20.007689973231212</v>
      </c>
      <c r="I25" s="35">
        <f t="shared" si="5"/>
        <v>1.0139409498984364</v>
      </c>
      <c r="J25" s="35">
        <f t="shared" si="5"/>
        <v>1.2361484297802949</v>
      </c>
      <c r="K25" s="35">
        <f t="shared" si="5"/>
        <v>1.7811738359830716</v>
      </c>
      <c r="L25" s="35">
        <f t="shared" si="5"/>
        <v>0.77674764143166197</v>
      </c>
      <c r="M25" s="35">
        <f t="shared" si="5"/>
        <v>6.032274773924861E-2</v>
      </c>
      <c r="N25" s="35">
        <f t="shared" si="5"/>
        <v>2.1858145548349004</v>
      </c>
      <c r="O25" s="35">
        <f t="shared" si="5"/>
        <v>2.3194982453178961</v>
      </c>
      <c r="P25" s="35">
        <f t="shared" si="5"/>
        <v>2.1193748805118808</v>
      </c>
      <c r="Q25" s="35">
        <f t="shared" si="5"/>
        <v>1.5538458913213422</v>
      </c>
    </row>
    <row r="26" spans="1:17" ht="15" customHeight="1" x14ac:dyDescent="0.2">
      <c r="A26" s="8" t="s">
        <v>533</v>
      </c>
      <c r="B26" s="35">
        <f t="shared" ref="B26:Q26" si="6">IF(B14&lt;&gt;0,B16/B14,0)</f>
        <v>0</v>
      </c>
      <c r="C26" s="35">
        <f t="shared" si="6"/>
        <v>8.737462047238381</v>
      </c>
      <c r="D26" s="35">
        <f t="shared" si="6"/>
        <v>22.368414076433073</v>
      </c>
      <c r="E26" s="35">
        <f t="shared" si="6"/>
        <v>-15.992979085940284</v>
      </c>
      <c r="F26" s="35">
        <f t="shared" si="6"/>
        <v>-61.608402888452524</v>
      </c>
      <c r="G26" s="35">
        <f t="shared" si="6"/>
        <v>-12.433341649271744</v>
      </c>
      <c r="H26" s="35">
        <f t="shared" si="6"/>
        <v>-275.02828932539313</v>
      </c>
      <c r="I26" s="35">
        <f t="shared" si="6"/>
        <v>1.8063664434901292</v>
      </c>
      <c r="J26" s="35">
        <f t="shared" si="6"/>
        <v>9.7224718075008578</v>
      </c>
      <c r="K26" s="35">
        <f t="shared" si="6"/>
        <v>3.1667641567184686</v>
      </c>
      <c r="L26" s="35">
        <f t="shared" si="6"/>
        <v>0.98176621158969146</v>
      </c>
      <c r="M26" s="35">
        <f t="shared" si="6"/>
        <v>-2.0290200948708383</v>
      </c>
      <c r="N26" s="35">
        <f t="shared" si="6"/>
        <v>3.1703248575991099</v>
      </c>
      <c r="O26" s="35">
        <f t="shared" si="6"/>
        <v>4.078476278129104</v>
      </c>
      <c r="P26" s="35">
        <f t="shared" si="6"/>
        <v>3.0774735184294513</v>
      </c>
      <c r="Q26" s="35">
        <f t="shared" si="6"/>
        <v>2.2833221163977568</v>
      </c>
    </row>
    <row r="29" spans="1:17" ht="15" customHeight="1" x14ac:dyDescent="0.2">
      <c r="A29" s="3" t="s">
        <v>534</v>
      </c>
    </row>
    <row r="31" spans="1:17" ht="15" customHeight="1" x14ac:dyDescent="0.2">
      <c r="A31" s="8" t="s">
        <v>535</v>
      </c>
      <c r="C31" s="28">
        <f>IF(CFS!B44&lt;&gt;0,CFS!C44/CFS!B44-1,0)</f>
        <v>-3.7052275480582431E-2</v>
      </c>
      <c r="D31" s="28">
        <f>IF(CFS!C44&lt;&gt;0,CFS!D44/CFS!C44-1,0)</f>
        <v>-5.1616502088872029E-2</v>
      </c>
      <c r="E31" s="28">
        <f>IF(CFS!D44&lt;&gt;0,CFS!E44/CFS!D44-1,0)</f>
        <v>-6.9818664197129121E-2</v>
      </c>
      <c r="F31" s="28">
        <f>IF(CFS!E44&lt;&gt;0,CFS!F44/CFS!E44-1,0)</f>
        <v>9.8818749327306055E-2</v>
      </c>
      <c r="G31" s="28">
        <f>IF(CFS!F44&lt;&gt;0,CFS!G44/CFS!F44-1,0)</f>
        <v>4.6220905317546856E-2</v>
      </c>
      <c r="H31" s="28">
        <f>IF(CFS!G44&lt;&gt;0,CFS!H44/CFS!G44-1,0)</f>
        <v>-2.9222451081359457E-2</v>
      </c>
      <c r="I31" s="28">
        <f>IF(CFS!H44&lt;&gt;0,CFS!I44/CFS!H44-1,0)</f>
        <v>5.6515292160432162E-2</v>
      </c>
      <c r="J31" s="28">
        <f>IF(CFS!I44&lt;&gt;0,CFS!J44/CFS!I44-1,0)</f>
        <v>0.17623432490101432</v>
      </c>
      <c r="K31" s="28">
        <f>IF(CFS!J44&lt;&gt;0,CFS!K44/CFS!J44-1,0)</f>
        <v>9.7386597338093184E-2</v>
      </c>
      <c r="L31" s="28">
        <f>IF(CFS!K44&lt;&gt;0,CFS!L44/CFS!K44-1,0)</f>
        <v>5.7618698231128862E-2</v>
      </c>
      <c r="M31" s="28">
        <f>IF(CFS!L44&lt;&gt;0,CFS!M44/CFS!L44-1,0)</f>
        <v>0.11527103462803368</v>
      </c>
      <c r="N31" s="28">
        <f>IF(CFS!M44&lt;&gt;0,CFS!N44/CFS!M44-1,0)</f>
        <v>4.5027405167767931E-3</v>
      </c>
      <c r="O31" s="28">
        <f>IF(CFS!N44&lt;&gt;0,CFS!O44/CFS!N44-1,0)</f>
        <v>-1.4449421674927687E-2</v>
      </c>
      <c r="P31" s="28">
        <f>IF(CFS!O44&lt;&gt;0,CFS!P44/CFS!O44-1,0)</f>
        <v>-2.6442017231830595E-2</v>
      </c>
      <c r="Q31" s="28">
        <f>IF(CFS!P44&lt;&gt;0,CFS!Q44/CFS!P44-1,0)</f>
        <v>-3.08148164928711E-2</v>
      </c>
    </row>
    <row r="32" spans="1:17" ht="15" customHeight="1" x14ac:dyDescent="0.2">
      <c r="A32" s="8" t="s">
        <v>536</v>
      </c>
      <c r="C32" s="14">
        <f>(C31-Ops!C15)*10000</f>
        <v>269.47724519417568</v>
      </c>
      <c r="D32" s="14">
        <f>(D31-Ops!D15)*10000</f>
        <v>1023.8349791112797</v>
      </c>
      <c r="E32" s="14">
        <f>(E31-Ops!E15)*10000</f>
        <v>-1248.1866419712912</v>
      </c>
      <c r="F32" s="14">
        <f>(F31-Ops!F15)*10000</f>
        <v>168.18749327306051</v>
      </c>
      <c r="G32" s="14">
        <f>(G31-Ops!G15)*10000</f>
        <v>262.20905317546857</v>
      </c>
      <c r="H32" s="14">
        <f>(H31-Ops!H15)*10000</f>
        <v>-302.22451081359458</v>
      </c>
      <c r="I32" s="14">
        <f>(I31-Ops!I15)*10000</f>
        <v>-134.84707839567844</v>
      </c>
      <c r="J32" s="14">
        <f>(J31-Ops!J15)*10000</f>
        <v>392.34324901014304</v>
      </c>
      <c r="K32" s="14">
        <f>(K31-Ops!K15)*10000</f>
        <v>-326.13402661906821</v>
      </c>
      <c r="L32" s="14">
        <f>(L31-Ops!L15)*10000</f>
        <v>-323.81301768871134</v>
      </c>
      <c r="M32" s="14">
        <f>(M31-Ops!M15)*10000</f>
        <v>792.71034628033669</v>
      </c>
      <c r="N32" s="14">
        <f>(N31-Ops!N15)*10000</f>
        <v>-344.97259483223201</v>
      </c>
      <c r="O32" s="14">
        <f>(O31-Ops!O15)*10000</f>
        <v>-504.49421674927686</v>
      </c>
      <c r="P32" s="14">
        <f>(P31-Ops!P15)*10000</f>
        <v>-624.42017231830596</v>
      </c>
      <c r="Q32" s="14">
        <f>(Q31-Ops!Q15)*10000</f>
        <v>-668.14816492871103</v>
      </c>
    </row>
    <row r="33" spans="1:17" ht="15" customHeight="1" x14ac:dyDescent="0.2">
      <c r="A33" s="8" t="s">
        <v>537</v>
      </c>
      <c r="C33" s="28">
        <f>IF(IS!B43&lt;&gt;0,IS!C43/IS!B43-1,0)</f>
        <v>-2.4175062123167557E-2</v>
      </c>
      <c r="D33" s="28">
        <f>IF(IS!C43&lt;&gt;0,IS!D43/IS!C43-1,0)</f>
        <v>3.0597339018516578E-3</v>
      </c>
      <c r="E33" s="28">
        <f>IF(IS!D43&lt;&gt;0,IS!E43/IS!D43-1,0)</f>
        <v>-7.8720012595234756E-5</v>
      </c>
      <c r="F33" s="28">
        <f>IF(IS!E43&lt;&gt;0,IS!F43/IS!E43-1,0)</f>
        <v>2.4995571650692217E-3</v>
      </c>
      <c r="G33" s="28">
        <f>IF(IS!F43&lt;&gt;0,IS!G43/IS!F43-1,0)</f>
        <v>1.4528035181404775E-3</v>
      </c>
      <c r="H33" s="28">
        <f>IF(IS!G43&lt;&gt;0,IS!H43/IS!G43-1,0)</f>
        <v>-5.8811997647567615E-5</v>
      </c>
      <c r="I33" s="28">
        <f>IF(IS!H43&lt;&gt;0,IS!I43/IS!H43-1,0)</f>
        <v>-1.3802027172741038E-2</v>
      </c>
      <c r="J33" s="28">
        <f>IF(IS!I43&lt;&gt;0,IS!J43/IS!I43-1,0)</f>
        <v>1.4512056934974371E-3</v>
      </c>
      <c r="K33" s="28">
        <f>IF(IS!J43&lt;&gt;0,IS!K43/IS!J43-1,0)</f>
        <v>-5.6971573765285388E-3</v>
      </c>
      <c r="L33" s="28">
        <f>IF(IS!K43&lt;&gt;0,IS!L43/IS!K43-1,0)</f>
        <v>6.1630298069436318E-2</v>
      </c>
      <c r="M33" s="28">
        <f>IF(IS!L43&lt;&gt;0,IS!M43/IS!L43-1,0)</f>
        <v>2.3318790431774428E-3</v>
      </c>
      <c r="N33" s="28">
        <f>IF(IS!M43&lt;&gt;0,IS!N43/IS!M43-1,0)</f>
        <v>0</v>
      </c>
      <c r="O33" s="28">
        <f>IF(IS!N43&lt;&gt;0,IS!O43/IS!N43-1,0)</f>
        <v>0</v>
      </c>
      <c r="P33" s="28">
        <f>IF(IS!O43&lt;&gt;0,IS!P43/IS!O43-1,0)</f>
        <v>0</v>
      </c>
      <c r="Q33" s="28">
        <f>IF(IS!P43&lt;&gt;0,IS!Q43/IS!P43-1,0)</f>
        <v>0</v>
      </c>
    </row>
    <row r="34" spans="1:17" ht="15" customHeight="1" x14ac:dyDescent="0.2">
      <c r="A34" s="8" t="s">
        <v>538</v>
      </c>
      <c r="C34" s="14">
        <f t="shared" ref="C34:Q34" si="7">C33*10000</f>
        <v>-241.75062123167555</v>
      </c>
      <c r="D34" s="14">
        <f t="shared" si="7"/>
        <v>30.597339018516578</v>
      </c>
      <c r="E34" s="14">
        <f t="shared" si="7"/>
        <v>-0.78720012595234756</v>
      </c>
      <c r="F34" s="14">
        <f t="shared" si="7"/>
        <v>24.995571650692217</v>
      </c>
      <c r="G34" s="14">
        <f t="shared" si="7"/>
        <v>14.528035181404775</v>
      </c>
      <c r="H34" s="14">
        <f t="shared" si="7"/>
        <v>-0.58811997647567615</v>
      </c>
      <c r="I34" s="14">
        <f t="shared" si="7"/>
        <v>-138.02027172741037</v>
      </c>
      <c r="J34" s="14">
        <f t="shared" si="7"/>
        <v>14.512056934974371</v>
      </c>
      <c r="K34" s="14">
        <f t="shared" si="7"/>
        <v>-56.971573765285385</v>
      </c>
      <c r="L34" s="14">
        <f t="shared" si="7"/>
        <v>616.30298069436321</v>
      </c>
      <c r="M34" s="14">
        <f t="shared" si="7"/>
        <v>23.318790431774428</v>
      </c>
      <c r="N34" s="14">
        <f t="shared" si="7"/>
        <v>0</v>
      </c>
      <c r="O34" s="14">
        <f t="shared" si="7"/>
        <v>0</v>
      </c>
      <c r="P34" s="14">
        <f t="shared" si="7"/>
        <v>0</v>
      </c>
      <c r="Q34" s="14">
        <f t="shared" si="7"/>
        <v>0</v>
      </c>
    </row>
    <row r="35" spans="1:17" ht="15" customHeight="1" x14ac:dyDescent="0.2">
      <c r="A35" s="8" t="s">
        <v>539</v>
      </c>
      <c r="B35" s="28">
        <f>IF(IS!B20&lt;&gt;0,-CFS!B35/IS!B20,0)</f>
        <v>0.30084627861365038</v>
      </c>
      <c r="C35" s="28">
        <f>IF(IS!C20&lt;&gt;0,-CFS!C35/IS!C20,0)</f>
        <v>0.3861888035906898</v>
      </c>
      <c r="D35" s="28">
        <f>IF(IS!D20&lt;&gt;0,-CFS!D35/IS!D20,0)</f>
        <v>0.88023120745269179</v>
      </c>
      <c r="E35" s="28">
        <f>IF(IS!E20&lt;&gt;0,-CFS!E35/IS!E20,0)</f>
        <v>0.52166949812415941</v>
      </c>
      <c r="F35" s="28">
        <f>IF(IS!F20&lt;&gt;0,-CFS!F35/IS!F20,0)</f>
        <v>0.45459112108905575</v>
      </c>
      <c r="G35" s="28">
        <f>IF(IS!G20&lt;&gt;0,-CFS!G35/IS!G20,0)</f>
        <v>0.40369839193888774</v>
      </c>
      <c r="H35" s="28">
        <f>IF(IS!H20&lt;&gt;0,-CFS!H35/IS!H20,0)</f>
        <v>0.44285193555442154</v>
      </c>
      <c r="I35" s="28">
        <f>IF(IS!I20&lt;&gt;0,-CFS!I35/IS!I20,0)</f>
        <v>0.43117430043157456</v>
      </c>
      <c r="J35" s="28">
        <f>IF(IS!J20&lt;&gt;0,-CFS!J35/IS!J20,0)</f>
        <v>0.35740519957115702</v>
      </c>
      <c r="K35" s="28">
        <f>IF(IS!K20&lt;&gt;0,-CFS!K35/IS!K20,0)</f>
        <v>0.32535688691039771</v>
      </c>
      <c r="L35" s="28">
        <f>IF(IS!L20&lt;&gt;0,-CFS!L35/IS!L20,0)</f>
        <v>0.31393975969978039</v>
      </c>
      <c r="M35" s="28">
        <f>IF(IS!M20&lt;&gt;0,-CFS!M35/IS!M20,0)</f>
        <v>0.35838749807262876</v>
      </c>
      <c r="N35" s="28">
        <f>IF(IS!N20&lt;&gt;0,-CFS!N35/IS!N20,0)</f>
        <v>0.35710694899573237</v>
      </c>
      <c r="O35" s="28">
        <f>IF(IS!O20&lt;&gt;0,-CFS!O35/IS!O20,0)</f>
        <v>0.35435178470640288</v>
      </c>
      <c r="P35" s="28">
        <f>IF(IS!P20&lt;&gt;0,-CFS!P35/IS!P20,0)</f>
        <v>0.35391028405135072</v>
      </c>
      <c r="Q35" s="28">
        <f>IF(IS!Q20&lt;&gt;0,-CFS!Q35/IS!Q20,0)</f>
        <v>0.35544554432742193</v>
      </c>
    </row>
    <row r="36" spans="1:17" ht="15" customHeight="1" x14ac:dyDescent="0.2">
      <c r="A36" s="8" t="s">
        <v>540</v>
      </c>
      <c r="B36" s="14">
        <f t="shared" ref="B36:Q36" si="8">(B35-0.15)*10000</f>
        <v>1508.4627861365038</v>
      </c>
      <c r="C36" s="14">
        <f t="shared" si="8"/>
        <v>2361.888035906898</v>
      </c>
      <c r="D36" s="14">
        <f t="shared" si="8"/>
        <v>7302.312074526918</v>
      </c>
      <c r="E36" s="14">
        <f t="shared" si="8"/>
        <v>3716.6949812415937</v>
      </c>
      <c r="F36" s="14">
        <f t="shared" si="8"/>
        <v>3045.9112108905574</v>
      </c>
      <c r="G36" s="14">
        <f t="shared" si="8"/>
        <v>2536.9839193888779</v>
      </c>
      <c r="H36" s="14">
        <f t="shared" si="8"/>
        <v>2928.5193555442156</v>
      </c>
      <c r="I36" s="14">
        <f t="shared" si="8"/>
        <v>2811.7430043157456</v>
      </c>
      <c r="J36" s="14">
        <f t="shared" si="8"/>
        <v>2074.0519957115703</v>
      </c>
      <c r="K36" s="14">
        <f t="shared" si="8"/>
        <v>1753.5688691039772</v>
      </c>
      <c r="L36" s="14">
        <f t="shared" si="8"/>
        <v>1639.3975969978039</v>
      </c>
      <c r="M36" s="14">
        <f t="shared" si="8"/>
        <v>2083.8749807262875</v>
      </c>
      <c r="N36" s="14">
        <f t="shared" si="8"/>
        <v>2071.0694899573236</v>
      </c>
      <c r="O36" s="14">
        <f t="shared" si="8"/>
        <v>2043.517847064029</v>
      </c>
      <c r="P36" s="14">
        <f t="shared" si="8"/>
        <v>2039.1028405135073</v>
      </c>
      <c r="Q36" s="14">
        <f t="shared" si="8"/>
        <v>2054.4554432742193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8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9" ht="15" customHeight="1" x14ac:dyDescent="0.2">
      <c r="A1" s="2" t="s">
        <v>0</v>
      </c>
    </row>
    <row r="2" spans="1:19" ht="15" customHeight="1" x14ac:dyDescent="0.2">
      <c r="A2" s="3" t="s">
        <v>541</v>
      </c>
    </row>
    <row r="3" spans="1:19" ht="15" customHeight="1" x14ac:dyDescent="0.2">
      <c r="A3" s="4" t="s">
        <v>542</v>
      </c>
    </row>
    <row r="5" spans="1:19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9" ht="15" customHeight="1" x14ac:dyDescent="0.2">
      <c r="A7" s="3" t="s">
        <v>543</v>
      </c>
    </row>
    <row r="8" spans="1:19" ht="15" customHeight="1" x14ac:dyDescent="0.2">
      <c r="A8" s="8" t="s">
        <v>544</v>
      </c>
      <c r="B8" s="19">
        <f>CFS!B44</f>
        <v>87498</v>
      </c>
      <c r="C8" s="19">
        <f>CFS!C44</f>
        <v>84256</v>
      </c>
      <c r="D8" s="19">
        <f>CFS!D44</f>
        <v>79907</v>
      </c>
      <c r="E8" s="19">
        <f>CFS!E44</f>
        <v>74328</v>
      </c>
      <c r="F8" s="19">
        <f>CFS!F44</f>
        <v>81673</v>
      </c>
      <c r="G8" s="19">
        <f>CFS!G44</f>
        <v>85448</v>
      </c>
      <c r="H8" s="19">
        <f>CFS!H44</f>
        <v>82951</v>
      </c>
      <c r="I8" s="19">
        <f>CFS!I44</f>
        <v>87639</v>
      </c>
      <c r="J8" s="19">
        <f>CFS!J44</f>
        <v>103084</v>
      </c>
      <c r="K8" s="19">
        <f>CFS!K44</f>
        <v>113123</v>
      </c>
      <c r="L8" s="19">
        <f>CFS!L44</f>
        <v>119641</v>
      </c>
      <c r="M8" s="19">
        <f>CFS!M44</f>
        <v>133432.14185393258</v>
      </c>
      <c r="N8" s="19">
        <f>CFS!N44</f>
        <v>134032.9521652986</v>
      </c>
      <c r="O8" s="19">
        <f>CFS!O44</f>
        <v>132096.25352112678</v>
      </c>
      <c r="P8" s="19">
        <f>CFS!P44</f>
        <v>128603.36210926088</v>
      </c>
      <c r="Q8" s="19">
        <f>CFS!Q44</f>
        <v>124640.47310549776</v>
      </c>
    </row>
    <row r="9" spans="1:19" ht="15" customHeight="1" x14ac:dyDescent="0.2">
      <c r="A9" s="8" t="s">
        <v>545</v>
      </c>
      <c r="C9" s="28">
        <f>IF(CFS!B44&lt;&gt;0,CFS!C44/CFS!B44-1,0)</f>
        <v>-3.7052275480582431E-2</v>
      </c>
      <c r="D9" s="28">
        <f>IF(CFS!C44&lt;&gt;0,CFS!D44/CFS!C44-1,0)</f>
        <v>-5.1616502088872029E-2</v>
      </c>
      <c r="E9" s="28">
        <f>IF(CFS!D44&lt;&gt;0,CFS!E44/CFS!D44-1,0)</f>
        <v>-6.9818664197129121E-2</v>
      </c>
      <c r="F9" s="28">
        <f>IF(CFS!E44&lt;&gt;0,CFS!F44/CFS!E44-1,0)</f>
        <v>9.8818749327306055E-2</v>
      </c>
      <c r="G9" s="28">
        <f>IF(CFS!F44&lt;&gt;0,CFS!G44/CFS!F44-1,0)</f>
        <v>4.6220905317546856E-2</v>
      </c>
      <c r="H9" s="28">
        <f>IF(CFS!G44&lt;&gt;0,CFS!H44/CFS!G44-1,0)</f>
        <v>-2.9222451081359457E-2</v>
      </c>
      <c r="I9" s="28">
        <f>IF(CFS!H44&lt;&gt;0,CFS!I44/CFS!H44-1,0)</f>
        <v>5.6515292160432162E-2</v>
      </c>
      <c r="J9" s="28">
        <f>IF(CFS!I44&lt;&gt;0,CFS!J44/CFS!I44-1,0)</f>
        <v>0.17623432490101432</v>
      </c>
      <c r="K9" s="28">
        <f>IF(CFS!J44&lt;&gt;0,CFS!K44/CFS!J44-1,0)</f>
        <v>9.7386597338093184E-2</v>
      </c>
      <c r="L9" s="28">
        <f>IF(CFS!K44&lt;&gt;0,CFS!L44/CFS!K44-1,0)</f>
        <v>5.7618698231128862E-2</v>
      </c>
      <c r="M9" s="28">
        <f>IF(CFS!L44&lt;&gt;0,CFS!M44/CFS!L44-1,0)</f>
        <v>0.11527103462803368</v>
      </c>
      <c r="N9" s="28">
        <f>IF(CFS!M44&lt;&gt;0,CFS!N44/CFS!M44-1,0)</f>
        <v>4.5027405167767931E-3</v>
      </c>
      <c r="O9" s="28">
        <f>IF(CFS!N44&lt;&gt;0,CFS!O44/CFS!N44-1,0)</f>
        <v>-1.4449421674927687E-2</v>
      </c>
      <c r="P9" s="28">
        <f>IF(CFS!O44&lt;&gt;0,CFS!P44/CFS!O44-1,0)</f>
        <v>-2.6442017231830595E-2</v>
      </c>
      <c r="Q9" s="28">
        <f>IF(CFS!P44&lt;&gt;0,CFS!Q44/CFS!P44-1,0)</f>
        <v>-3.08148164928711E-2</v>
      </c>
    </row>
    <row r="10" spans="1:19" ht="15" customHeight="1" x14ac:dyDescent="0.2">
      <c r="A10" s="8" t="s">
        <v>546</v>
      </c>
      <c r="M10" s="28">
        <f>(CFS!L44/CFS!H44)^(1/4)-1</f>
        <v>9.5884040022500283E-2</v>
      </c>
      <c r="S10" s="28">
        <f>(CFS!L44/CFS!H44)^(1/4)-1</f>
        <v>9.5884040022500283E-2</v>
      </c>
    </row>
    <row r="11" spans="1:19" ht="15" customHeight="1" x14ac:dyDescent="0.2">
      <c r="A11" s="8" t="s">
        <v>547</v>
      </c>
      <c r="B11" s="28">
        <f>IF(IS!B20&lt;&gt;0,B8/IS!B20,0)</f>
        <v>0.29690331249872753</v>
      </c>
      <c r="C11" s="28">
        <f>IF(IS!C20&lt;&gt;0,C8/IS!C20,0)</f>
        <v>0.33289740378270954</v>
      </c>
      <c r="D11" s="28">
        <f>IF(IS!D20&lt;&gt;0,D8/IS!D20,0)</f>
        <v>0.36979771661815136</v>
      </c>
      <c r="E11" s="28">
        <f>IF(IS!E20&lt;&gt;0,E8/IS!E20,0)</f>
        <v>0.32883839456360159</v>
      </c>
      <c r="F11" s="28">
        <f>IF(IS!F20&lt;&gt;0,F8/IS!F20,0)</f>
        <v>0.31559199823797396</v>
      </c>
      <c r="G11" s="28">
        <f>IF(IS!G20&lt;&gt;0,G8/IS!G20,0)</f>
        <v>0.31748060517789733</v>
      </c>
      <c r="H11" s="28">
        <f>IF(IS!H20&lt;&gt;0,H8/IS!H20,0)</f>
        <v>0.30236567762630312</v>
      </c>
      <c r="I11" s="28">
        <f>IF(IS!I20&lt;&gt;0,I8/IS!I20,0)</f>
        <v>0.30502227481553668</v>
      </c>
      <c r="J11" s="28">
        <f>IF(IS!J20&lt;&gt;0,J8/IS!J20,0)</f>
        <v>0.30957178765664933</v>
      </c>
      <c r="K11" s="28">
        <f>IF(IS!K20&lt;&gt;0,K8/IS!K20,0)</f>
        <v>0.29587481102910024</v>
      </c>
      <c r="L11" s="28">
        <f>IF(IS!L20&lt;&gt;0,L8/IS!L20,0)</f>
        <v>0.28652340616101601</v>
      </c>
      <c r="M11" s="28">
        <f>IF(IS!M20&lt;&gt;0,M8/IS!M20,0)</f>
        <v>0.30832123714105397</v>
      </c>
      <c r="N11" s="28">
        <f>IF(IS!N20&lt;&gt;0,N8/IS!N20,0)</f>
        <v>0.29449603290493381</v>
      </c>
      <c r="O11" s="28">
        <f>IF(IS!O20&lt;&gt;0,O8/IS!O20,0)</f>
        <v>0.27730173772881161</v>
      </c>
      <c r="P11" s="28">
        <f>IF(IS!P20&lt;&gt;0,P8/IS!P20,0)</f>
        <v>0.25985903490279227</v>
      </c>
      <c r="Q11" s="28">
        <f>IF(IS!Q20&lt;&gt;0,Q8/IS!Q20,0)</f>
        <v>0.24399127288912942</v>
      </c>
    </row>
    <row r="13" spans="1:19" ht="15" customHeight="1" x14ac:dyDescent="0.2">
      <c r="A13" s="8" t="s">
        <v>548</v>
      </c>
      <c r="B13" s="19">
        <f>CFS!B44-CFS!H44</f>
        <v>4547</v>
      </c>
      <c r="C13" s="19">
        <f>CFS!C44-CFS!H44</f>
        <v>1305</v>
      </c>
      <c r="D13" s="19">
        <f>CFS!D44-CFS!H44</f>
        <v>-3044</v>
      </c>
      <c r="E13" s="19">
        <f>CFS!E44-CFS!H44</f>
        <v>-8623</v>
      </c>
      <c r="F13" s="19">
        <f>CFS!F44-CFS!H44</f>
        <v>-1278</v>
      </c>
      <c r="G13" s="19">
        <f>CFS!G44-CFS!H44</f>
        <v>2497</v>
      </c>
      <c r="H13" s="19">
        <f>CFS!H44-CFS!H44</f>
        <v>0</v>
      </c>
      <c r="I13" s="19">
        <f>CFS!I44-CFS!H44</f>
        <v>4688</v>
      </c>
      <c r="J13" s="19">
        <f>CFS!J44-CFS!H44</f>
        <v>20133</v>
      </c>
      <c r="K13" s="19">
        <f>CFS!K44-CFS!H44</f>
        <v>30172</v>
      </c>
      <c r="L13" s="19">
        <f>CFS!L44-CFS!H44</f>
        <v>36690</v>
      </c>
      <c r="M13" s="14">
        <f>SUM(I13:L13)</f>
        <v>91683</v>
      </c>
      <c r="N13" s="19">
        <f>CFS!N44-CFS!H44</f>
        <v>51081.9521652986</v>
      </c>
      <c r="O13" s="19">
        <f>CFS!O44-CFS!H44</f>
        <v>49145.253521126782</v>
      </c>
      <c r="P13" s="19">
        <f>CFS!P44-CFS!H44</f>
        <v>45652.362109260881</v>
      </c>
      <c r="Q13" s="19">
        <f>CFS!Q44-CFS!H44</f>
        <v>41689.47310549776</v>
      </c>
      <c r="S13" s="14">
        <f>M13</f>
        <v>91683</v>
      </c>
    </row>
    <row r="14" spans="1:19" ht="15" customHeight="1" x14ac:dyDescent="0.2">
      <c r="A14" s="8" t="s">
        <v>549</v>
      </c>
      <c r="B14" s="34">
        <f>Ops!B26</f>
        <v>3.0099999999999998E-2</v>
      </c>
      <c r="C14" s="34">
        <f>Ops!C26</f>
        <v>2.7799999999999998E-2</v>
      </c>
      <c r="D14" s="34">
        <f>Ops!D26</f>
        <v>2.6100000000000002E-2</v>
      </c>
      <c r="E14" s="34">
        <f>Ops!E26</f>
        <v>2.6499999999999999E-2</v>
      </c>
      <c r="F14" s="34">
        <f>Ops!F26</f>
        <v>2.7400000000000001E-2</v>
      </c>
      <c r="G14" s="34">
        <f>Ops!G26</f>
        <v>2.58E-2</v>
      </c>
      <c r="H14" s="34">
        <f>Ops!H26</f>
        <v>2.46E-2</v>
      </c>
      <c r="I14" s="34">
        <f>Ops!I26</f>
        <v>2.7199999999999998E-2</v>
      </c>
      <c r="J14" s="34">
        <f>Ops!J26</f>
        <v>0.03</v>
      </c>
      <c r="K14" s="34">
        <f>Ops!K26</f>
        <v>3.1899999999999998E-2</v>
      </c>
      <c r="L14" s="34">
        <f>Ops!L26</f>
        <v>3.3500000000000002E-2</v>
      </c>
      <c r="M14" s="34">
        <f>Ops!M26</f>
        <v>0</v>
      </c>
      <c r="N14" s="34">
        <f>Ops!N26</f>
        <v>0</v>
      </c>
      <c r="O14" s="34">
        <f>Ops!O26</f>
        <v>0</v>
      </c>
      <c r="P14" s="34">
        <f>Ops!P26</f>
        <v>0</v>
      </c>
      <c r="Q14" s="34">
        <f>Ops!Q26</f>
        <v>0</v>
      </c>
    </row>
    <row r="16" spans="1:19" ht="15" customHeight="1" x14ac:dyDescent="0.2">
      <c r="A16" s="3" t="s">
        <v>550</v>
      </c>
    </row>
    <row r="17" spans="1:17" ht="15" customHeight="1" x14ac:dyDescent="0.2">
      <c r="A17" s="8" t="s">
        <v>115</v>
      </c>
      <c r="B17" s="19">
        <f>IS!B43</f>
        <v>51913</v>
      </c>
      <c r="C17" s="19">
        <f>IS!C43</f>
        <v>50658</v>
      </c>
      <c r="D17" s="19">
        <f>IS!D43</f>
        <v>50813</v>
      </c>
      <c r="E17" s="19">
        <f>IS!E43</f>
        <v>50809</v>
      </c>
      <c r="F17" s="19">
        <f>IS!F43</f>
        <v>50936</v>
      </c>
      <c r="G17" s="19">
        <f>IS!G43</f>
        <v>51010</v>
      </c>
      <c r="H17" s="19">
        <f>IS!H43</f>
        <v>51007</v>
      </c>
      <c r="I17" s="19">
        <f>IS!I43</f>
        <v>50303</v>
      </c>
      <c r="J17" s="19">
        <f>IS!J43</f>
        <v>50376</v>
      </c>
      <c r="K17" s="19">
        <f>IS!K43</f>
        <v>50089</v>
      </c>
      <c r="L17" s="19">
        <f>IS!L43</f>
        <v>53176</v>
      </c>
      <c r="M17" s="19">
        <f>IS!M43</f>
        <v>53300</v>
      </c>
      <c r="N17" s="19">
        <f>IS!N43</f>
        <v>53300</v>
      </c>
      <c r="O17" s="19">
        <f>IS!O43</f>
        <v>53300</v>
      </c>
      <c r="P17" s="19">
        <f>IS!P43</f>
        <v>53300</v>
      </c>
      <c r="Q17" s="19">
        <f>IS!Q43</f>
        <v>53300</v>
      </c>
    </row>
    <row r="18" spans="1:17" ht="15" customHeight="1" x14ac:dyDescent="0.2">
      <c r="A18" s="8" t="s">
        <v>551</v>
      </c>
      <c r="C18" s="28">
        <f>IF(IS!B43&lt;&gt;0,IS!C43/IS!B43-1,0)</f>
        <v>-2.4175062123167557E-2</v>
      </c>
      <c r="D18" s="28">
        <f>IF(IS!C43&lt;&gt;0,IS!D43/IS!C43-1,0)</f>
        <v>3.0597339018516578E-3</v>
      </c>
      <c r="E18" s="28">
        <f>IF(IS!D43&lt;&gt;0,IS!E43/IS!D43-1,0)</f>
        <v>-7.8720012595234756E-5</v>
      </c>
      <c r="F18" s="28">
        <f>IF(IS!E43&lt;&gt;0,IS!F43/IS!E43-1,0)</f>
        <v>2.4995571650692217E-3</v>
      </c>
      <c r="G18" s="28">
        <f>IF(IS!F43&lt;&gt;0,IS!G43/IS!F43-1,0)</f>
        <v>1.4528035181404775E-3</v>
      </c>
      <c r="H18" s="28">
        <f>IF(IS!G43&lt;&gt;0,IS!H43/IS!G43-1,0)</f>
        <v>-5.8811997647567615E-5</v>
      </c>
      <c r="I18" s="28">
        <f>IF(IS!H43&lt;&gt;0,IS!I43/IS!H43-1,0)</f>
        <v>-1.3802027172741038E-2</v>
      </c>
      <c r="J18" s="28">
        <f>IF(IS!I43&lt;&gt;0,IS!J43/IS!I43-1,0)</f>
        <v>1.4512056934974371E-3</v>
      </c>
      <c r="K18" s="28">
        <f>IF(IS!J43&lt;&gt;0,IS!K43/IS!J43-1,0)</f>
        <v>-5.6971573765285388E-3</v>
      </c>
      <c r="L18" s="28">
        <f>IF(IS!K43&lt;&gt;0,IS!L43/IS!K43-1,0)</f>
        <v>6.1630298069436318E-2</v>
      </c>
      <c r="M18" s="28">
        <f>IF(IS!L43&lt;&gt;0,IS!M43/IS!L43-1,0)</f>
        <v>2.3318790431774428E-3</v>
      </c>
      <c r="N18" s="28">
        <f>IF(IS!M43&lt;&gt;0,IS!N43/IS!M43-1,0)</f>
        <v>0</v>
      </c>
      <c r="O18" s="28">
        <f>IF(IS!N43&lt;&gt;0,IS!O43/IS!N43-1,0)</f>
        <v>0</v>
      </c>
      <c r="P18" s="28">
        <f>IF(IS!O43&lt;&gt;0,IS!P43/IS!O43-1,0)</f>
        <v>0</v>
      </c>
      <c r="Q18" s="28">
        <f>IF(IS!P43&lt;&gt;0,IS!Q43/IS!P43-1,0)</f>
        <v>0</v>
      </c>
    </row>
    <row r="19" spans="1:17" ht="15" customHeight="1" x14ac:dyDescent="0.2">
      <c r="A19" s="8" t="s">
        <v>552</v>
      </c>
      <c r="B19" s="28">
        <f>IF(IS!H43&lt;&gt;0,IS!B43/IS!H43-1,0)</f>
        <v>1.7762267924010366E-2</v>
      </c>
      <c r="C19" s="28">
        <f>IF(IS!H43&lt;&gt;0,IS!C43/IS!H43-1,0)</f>
        <v>-6.8421981296684642E-3</v>
      </c>
      <c r="D19" s="28">
        <f>IF(IS!H43&lt;&gt;0,IS!D43/IS!H43-1,0)</f>
        <v>-3.8033995333973669E-3</v>
      </c>
      <c r="E19" s="28">
        <f>IF(IS!H43&lt;&gt;0,IS!E43/IS!H43-1,0)</f>
        <v>-3.8818201423334031E-3</v>
      </c>
      <c r="F19" s="28">
        <f>IF(IS!H43&lt;&gt;0,IS!F43/IS!H43-1,0)</f>
        <v>-1.3919658086145592E-3</v>
      </c>
      <c r="G19" s="28">
        <f>IF(IS!H43&lt;&gt;0,IS!G43/IS!H43-1,0)</f>
        <v>5.8815456702054902E-5</v>
      </c>
      <c r="H19" s="28">
        <f>IF(IS!H43&lt;&gt;0,IS!H43/IS!H43-1,0)</f>
        <v>0</v>
      </c>
      <c r="I19" s="28">
        <f>IF(IS!H43&lt;&gt;0,IS!I43/IS!H43-1,0)</f>
        <v>-1.3802027172741038E-2</v>
      </c>
      <c r="J19" s="28">
        <f>IF(IS!H43&lt;&gt;0,IS!J43/IS!H43-1,0)</f>
        <v>-1.2370851059658516E-2</v>
      </c>
      <c r="K19" s="28">
        <f>IF(IS!H43&lt;&gt;0,IS!K43/IS!H43-1,0)</f>
        <v>-1.7997529750818475E-2</v>
      </c>
      <c r="L19" s="28">
        <f>IF(IS!H43&lt;&gt;0,IS!L43/IS!H43-1,0)</f>
        <v>4.2523575195561492E-2</v>
      </c>
      <c r="M19" s="28">
        <f>IF(IS!H43&lt;&gt;0,IS!M43/IS!H43-1,0)</f>
        <v>4.4954614072578281E-2</v>
      </c>
      <c r="N19" s="28">
        <f>IF(IS!H43&lt;&gt;0,IS!N43/IS!H43-1,0)</f>
        <v>4.4954614072578281E-2</v>
      </c>
      <c r="O19" s="28">
        <f>IF(IS!H43&lt;&gt;0,IS!O43/IS!H43-1,0)</f>
        <v>4.4954614072578281E-2</v>
      </c>
      <c r="P19" s="28">
        <f>IF(IS!H43&lt;&gt;0,IS!P43/IS!H43-1,0)</f>
        <v>4.4954614072578281E-2</v>
      </c>
      <c r="Q19" s="28">
        <f>IF(IS!H43&lt;&gt;0,IS!Q43/IS!H43-1,0)</f>
        <v>4.4954614072578281E-2</v>
      </c>
    </row>
    <row r="20" spans="1:17" ht="15" customHeight="1" x14ac:dyDescent="0.2">
      <c r="A20" s="8" t="s">
        <v>553</v>
      </c>
      <c r="B20" s="13">
        <v>37115</v>
      </c>
      <c r="C20" s="13">
        <v>32646</v>
      </c>
      <c r="D20" s="13">
        <v>0</v>
      </c>
      <c r="E20" s="13">
        <v>0</v>
      </c>
      <c r="F20" s="13">
        <v>0</v>
      </c>
      <c r="G20" s="13">
        <v>0</v>
      </c>
      <c r="H20" s="13">
        <v>24049</v>
      </c>
      <c r="I20" s="13">
        <v>21671</v>
      </c>
      <c r="J20" s="13">
        <v>0</v>
      </c>
      <c r="K20" s="13">
        <v>10001</v>
      </c>
      <c r="L20" s="13">
        <v>58321</v>
      </c>
      <c r="M20" s="19">
        <f>-CFS!M26</f>
        <v>0</v>
      </c>
      <c r="N20" s="19">
        <f>-CFS!N26</f>
        <v>0</v>
      </c>
      <c r="O20" s="19">
        <f>-CFS!O26</f>
        <v>0</v>
      </c>
      <c r="P20" s="19">
        <f>-CFS!P26</f>
        <v>0</v>
      </c>
      <c r="Q20" s="19">
        <f>-CFS!Q26</f>
        <v>0</v>
      </c>
    </row>
    <row r="21" spans="1:17" ht="15" customHeight="1" x14ac:dyDescent="0.2">
      <c r="A21" s="8" t="s">
        <v>554</v>
      </c>
      <c r="B21" s="19">
        <f>CFS!B26</f>
        <v>-37115</v>
      </c>
      <c r="C21" s="19">
        <f>CFS!C26</f>
        <v>-32646</v>
      </c>
      <c r="D21" s="19">
        <f>CFS!D26</f>
        <v>0</v>
      </c>
      <c r="E21" s="19">
        <f>CFS!E26</f>
        <v>0</v>
      </c>
      <c r="F21" s="19">
        <f>CFS!F26</f>
        <v>0</v>
      </c>
      <c r="G21" s="19">
        <f>CFS!G26</f>
        <v>0</v>
      </c>
      <c r="H21" s="19">
        <f>CFS!H26</f>
        <v>-24049</v>
      </c>
      <c r="I21" s="19">
        <f>CFS!I26</f>
        <v>-21671</v>
      </c>
      <c r="J21" s="19">
        <f>CFS!J26</f>
        <v>0</v>
      </c>
      <c r="K21" s="19">
        <f>CFS!K26</f>
        <v>-10001</v>
      </c>
      <c r="L21" s="19">
        <f>CFS!L26</f>
        <v>-58321</v>
      </c>
      <c r="M21" s="19">
        <f>CFS!M26</f>
        <v>0</v>
      </c>
      <c r="N21" s="19">
        <f>CFS!N26</f>
        <v>0</v>
      </c>
      <c r="O21" s="19">
        <f>CFS!O26</f>
        <v>0</v>
      </c>
      <c r="P21" s="19">
        <f>CFS!P26</f>
        <v>0</v>
      </c>
      <c r="Q21" s="19">
        <f>CFS!Q26</f>
        <v>0</v>
      </c>
    </row>
    <row r="22" spans="1:17" ht="15" customHeight="1" x14ac:dyDescent="0.2">
      <c r="A22" s="8" t="s">
        <v>555</v>
      </c>
      <c r="B22" s="22">
        <f>IF(IS!H43&lt;&gt;0,FFO_AFFO!B28/IS!H43,0)</f>
        <v>3.3772031289822966</v>
      </c>
      <c r="C22" s="22">
        <f>IF(IS!H43&lt;&gt;0,FFO_AFFO!C28/IS!H43,0)</f>
        <v>2.5834885407885193</v>
      </c>
      <c r="D22" s="22">
        <f>IF(IS!H43&lt;&gt;0,FFO_AFFO!D28/IS!H43,0)</f>
        <v>1.6623796733781637</v>
      </c>
      <c r="E22" s="22">
        <f>IF(IS!H43&lt;&gt;0,FFO_AFFO!E28/IS!H43,0)</f>
        <v>1.7250377399180505</v>
      </c>
      <c r="F22" s="22">
        <f>IF(IS!H43&lt;&gt;0,FFO_AFFO!F28/IS!H43,0)</f>
        <v>2.2177152155586488</v>
      </c>
      <c r="G22" s="22">
        <f>IF(IS!H43&lt;&gt;0,FFO_AFFO!G28/IS!H43,0)</f>
        <v>2.4729546924931873</v>
      </c>
      <c r="H22" s="22">
        <f>IF(IS!H43&lt;&gt;0,FFO_AFFO!H28/IS!H43,0)</f>
        <v>2.4233340521889151</v>
      </c>
      <c r="I22" s="22">
        <f>IF(IS!H43&lt;&gt;0,FFO_AFFO!I28/IS!H43,0)</f>
        <v>2.5595114396063288</v>
      </c>
      <c r="J22" s="22">
        <f>IF(IS!H43&lt;&gt;0,FFO_AFFO!J28/IS!H43,0)</f>
        <v>2.9973140941439409</v>
      </c>
      <c r="K22" s="22">
        <f>IF(IS!H43&lt;&gt;0,FFO_AFFO!K28/IS!H43,0)</f>
        <v>3.6703197600329367</v>
      </c>
      <c r="L22" s="22">
        <f>IF(IS!H43&lt;&gt;0,FFO_AFFO!L28/IS!H43,0)</f>
        <v>4.1689179916482049</v>
      </c>
      <c r="M22" s="22">
        <f>IF(IS!H43&lt;&gt;0,FFO_AFFO!M28/IS!H43,0)</f>
        <v>4.187713816529758</v>
      </c>
      <c r="N22" s="22">
        <f>IF(IS!H43&lt;&gt;0,FFO_AFFO!N28/IS!H43,0)</f>
        <v>4.5447028831842626</v>
      </c>
      <c r="O22" s="22">
        <f>IF(IS!H43&lt;&gt;0,FFO_AFFO!O28/IS!H43,0)</f>
        <v>4.924194376253598</v>
      </c>
      <c r="P22" s="22">
        <f>IF(IS!H43&lt;&gt;0,FFO_AFFO!P28/IS!H43,0)</f>
        <v>5.2998980754940286</v>
      </c>
      <c r="Q22" s="22">
        <f>IF(IS!H43&lt;&gt;0,FFO_AFFO!Q28/IS!H43,0)</f>
        <v>5.5963661700590466</v>
      </c>
    </row>
    <row r="23" spans="1:17" ht="15" customHeight="1" x14ac:dyDescent="0.2">
      <c r="A23" s="8" t="s">
        <v>556</v>
      </c>
      <c r="B23" s="22">
        <f>FFO_AFFO!B29</f>
        <v>3.3182632481266734</v>
      </c>
      <c r="C23" s="22">
        <f>FFO_AFFO!C29</f>
        <v>2.6012870622606497</v>
      </c>
      <c r="D23" s="22">
        <f>FFO_AFFO!D29</f>
        <v>1.6687265069962411</v>
      </c>
      <c r="E23" s="22">
        <f>FFO_AFFO!E29</f>
        <v>1.7317601212383633</v>
      </c>
      <c r="F23" s="22">
        <f>FFO_AFFO!F29</f>
        <v>2.2208065022773678</v>
      </c>
      <c r="G23" s="22">
        <f>FFO_AFFO!G29</f>
        <v>2.4728092530876298</v>
      </c>
      <c r="H23" s="22">
        <f>FFO_AFFO!H29</f>
        <v>2.4233340521889151</v>
      </c>
      <c r="I23" s="22">
        <f>FFO_AFFO!I29</f>
        <v>2.595332286344751</v>
      </c>
      <c r="J23" s="22">
        <f>FFO_AFFO!J29</f>
        <v>3.0348578688264252</v>
      </c>
      <c r="K23" s="22">
        <f>FFO_AFFO!K29</f>
        <v>3.7375870949709515</v>
      </c>
      <c r="L23" s="22">
        <f>FFO_AFFO!L29</f>
        <v>3.9988716714307206</v>
      </c>
      <c r="M23" s="22">
        <f>FFO_AFFO!M29</f>
        <v>4.0075556968055048</v>
      </c>
      <c r="N23" s="22">
        <f>FFO_AFFO!N29</f>
        <v>4.3491868660896751</v>
      </c>
      <c r="O23" s="22">
        <f>FFO_AFFO!O29</f>
        <v>4.7123523930500424</v>
      </c>
      <c r="P23" s="22">
        <f>FFO_AFFO!P29</f>
        <v>5.0718930794882535</v>
      </c>
      <c r="Q23" s="22">
        <f>FFO_AFFO!Q29</f>
        <v>5.3556069275084761</v>
      </c>
    </row>
    <row r="24" spans="1:17" ht="15" customHeight="1" x14ac:dyDescent="0.2">
      <c r="A24" s="8" t="s">
        <v>557</v>
      </c>
      <c r="B24" s="11">
        <f t="shared" ref="B24:Q24" si="0">B22-B23</f>
        <v>5.8939880855623183E-2</v>
      </c>
      <c r="C24" s="11">
        <f t="shared" si="0"/>
        <v>-1.7798521472130346E-2</v>
      </c>
      <c r="D24" s="11">
        <f t="shared" si="0"/>
        <v>-6.3468336180774187E-3</v>
      </c>
      <c r="E24" s="11">
        <f t="shared" si="0"/>
        <v>-6.7223813203127758E-3</v>
      </c>
      <c r="F24" s="11">
        <f t="shared" si="0"/>
        <v>-3.0912867187189441E-3</v>
      </c>
      <c r="G24" s="11">
        <f t="shared" si="0"/>
        <v>1.4543940555755697E-4</v>
      </c>
      <c r="H24" s="11">
        <f t="shared" si="0"/>
        <v>0</v>
      </c>
      <c r="I24" s="11">
        <f t="shared" si="0"/>
        <v>-3.582084673842223E-2</v>
      </c>
      <c r="J24" s="11">
        <f t="shared" si="0"/>
        <v>-3.7543774682484266E-2</v>
      </c>
      <c r="K24" s="11">
        <f t="shared" si="0"/>
        <v>-6.7267334938014844E-2</v>
      </c>
      <c r="L24" s="11">
        <f t="shared" si="0"/>
        <v>0.17004632021748423</v>
      </c>
      <c r="M24" s="11">
        <f t="shared" si="0"/>
        <v>0.18015811972425322</v>
      </c>
      <c r="N24" s="11">
        <f t="shared" si="0"/>
        <v>0.19551601709458755</v>
      </c>
      <c r="O24" s="11">
        <f t="shared" si="0"/>
        <v>0.21184198320355563</v>
      </c>
      <c r="P24" s="11">
        <f t="shared" si="0"/>
        <v>0.22800499600577506</v>
      </c>
      <c r="Q24" s="11">
        <f t="shared" si="0"/>
        <v>0.24075924255057046</v>
      </c>
    </row>
    <row r="26" spans="1:17" ht="15" customHeight="1" x14ac:dyDescent="0.2">
      <c r="A26" s="3" t="s">
        <v>558</v>
      </c>
    </row>
    <row r="27" spans="1:17" ht="15" customHeight="1" x14ac:dyDescent="0.2">
      <c r="A27" s="8" t="s">
        <v>392</v>
      </c>
      <c r="B27" s="19">
        <f>'CFS-FCF'!B10</f>
        <v>83560</v>
      </c>
      <c r="C27" s="19">
        <f>'CFS-FCF'!C10</f>
        <v>35943</v>
      </c>
      <c r="D27" s="19">
        <f>'CFS-FCF'!D10</f>
        <v>-88140</v>
      </c>
      <c r="E27" s="19">
        <f>'CFS-FCF'!E10</f>
        <v>-10610</v>
      </c>
      <c r="F27" s="19">
        <f>'CFS-FCF'!F10</f>
        <v>43098</v>
      </c>
      <c r="G27" s="19">
        <f>'CFS-FCF'!G10</f>
        <v>32428</v>
      </c>
      <c r="H27" s="19">
        <f>'CFS-FCF'!H10</f>
        <v>23508</v>
      </c>
      <c r="I27" s="19">
        <f>'CFS-FCF'!I10</f>
        <v>26115</v>
      </c>
      <c r="J27" s="19">
        <f>'CFS-FCF'!J10</f>
        <v>60988</v>
      </c>
      <c r="K27" s="19">
        <f>'CFS-FCF'!K10</f>
        <v>85605</v>
      </c>
      <c r="L27" s="19">
        <f>'CFS-FCF'!L10</f>
        <v>98911</v>
      </c>
      <c r="M27" s="19">
        <f>'CFS-FCF'!M10</f>
        <v>91899.874195288983</v>
      </c>
      <c r="N27" s="19">
        <f>'CFS-FCF'!N10</f>
        <v>103262.61996257966</v>
      </c>
      <c r="O27" s="19">
        <f>'CFS-FCF'!O10</f>
        <v>118424.16921623398</v>
      </c>
      <c r="P27" s="19">
        <f>'CFS-FCF'!P10</f>
        <v>131544.27002561284</v>
      </c>
      <c r="Q27" s="19">
        <f>'CFS-FCF'!Q10</f>
        <v>142357.15590286854</v>
      </c>
    </row>
    <row r="28" spans="1:17" ht="15" customHeight="1" x14ac:dyDescent="0.2">
      <c r="A28" s="8" t="s">
        <v>559</v>
      </c>
      <c r="B28" s="19">
        <f>FFO_AFFO!B34</f>
        <v>143557</v>
      </c>
      <c r="C28" s="19">
        <f>FFO_AFFO!C34</f>
        <v>103399</v>
      </c>
      <c r="D28" s="19">
        <f>FFO_AFFO!D34</f>
        <v>104169</v>
      </c>
      <c r="E28" s="19">
        <f>FFO_AFFO!E34</f>
        <v>46397</v>
      </c>
      <c r="F28" s="19">
        <f>FFO_AFFO!F34</f>
        <v>46462</v>
      </c>
      <c r="G28" s="19">
        <f>FFO_AFFO!G34</f>
        <v>46571</v>
      </c>
      <c r="H28" s="19">
        <f>FFO_AFFO!H34</f>
        <v>46553</v>
      </c>
      <c r="I28" s="19">
        <f>FFO_AFFO!I34</f>
        <v>48898</v>
      </c>
      <c r="J28" s="19">
        <f>FFO_AFFO!J34</f>
        <v>53169</v>
      </c>
      <c r="K28" s="19">
        <f>FFO_AFFO!K34</f>
        <v>68917</v>
      </c>
      <c r="L28" s="19">
        <f>FFO_AFFO!L34</f>
        <v>77879</v>
      </c>
      <c r="M28" s="19">
        <f>FFO_AFFO!M34</f>
        <v>95940</v>
      </c>
      <c r="N28" s="19">
        <f>FFO_AFFO!N34</f>
        <v>98605</v>
      </c>
      <c r="O28" s="19">
        <f>FFO_AFFO!O34</f>
        <v>101270</v>
      </c>
      <c r="P28" s="19">
        <f>FFO_AFFO!P34</f>
        <v>103935</v>
      </c>
      <c r="Q28" s="19">
        <f>FFO_AFFO!Q34</f>
        <v>106600</v>
      </c>
    </row>
    <row r="29" spans="1:17" ht="15" customHeight="1" x14ac:dyDescent="0.2">
      <c r="A29" s="8" t="s">
        <v>560</v>
      </c>
      <c r="B29" s="14">
        <f t="shared" ref="B29:Q29" si="1">B27-B28</f>
        <v>-59997</v>
      </c>
      <c r="C29" s="14">
        <f t="shared" si="1"/>
        <v>-67456</v>
      </c>
      <c r="D29" s="14">
        <f t="shared" si="1"/>
        <v>-192309</v>
      </c>
      <c r="E29" s="14">
        <f t="shared" si="1"/>
        <v>-57007</v>
      </c>
      <c r="F29" s="14">
        <f t="shared" si="1"/>
        <v>-3364</v>
      </c>
      <c r="G29" s="14">
        <f t="shared" si="1"/>
        <v>-14143</v>
      </c>
      <c r="H29" s="14">
        <f t="shared" si="1"/>
        <v>-23045</v>
      </c>
      <c r="I29" s="14">
        <f t="shared" si="1"/>
        <v>-22783</v>
      </c>
      <c r="J29" s="14">
        <f t="shared" si="1"/>
        <v>7819</v>
      </c>
      <c r="K29" s="14">
        <f t="shared" si="1"/>
        <v>16688</v>
      </c>
      <c r="L29" s="14">
        <f t="shared" si="1"/>
        <v>21032</v>
      </c>
      <c r="M29" s="14">
        <f t="shared" si="1"/>
        <v>-4040.1258047110168</v>
      </c>
      <c r="N29" s="14">
        <f t="shared" si="1"/>
        <v>4657.619962579658</v>
      </c>
      <c r="O29" s="14">
        <f t="shared" si="1"/>
        <v>17154.169216233975</v>
      </c>
      <c r="P29" s="14">
        <f t="shared" si="1"/>
        <v>27609.270025612845</v>
      </c>
      <c r="Q29" s="14">
        <f t="shared" si="1"/>
        <v>35757.155902868544</v>
      </c>
    </row>
    <row r="32" spans="1:17" ht="15" customHeight="1" x14ac:dyDescent="0.2">
      <c r="A32" s="3" t="s">
        <v>561</v>
      </c>
    </row>
    <row r="33" spans="1:19" ht="15" customHeight="1" x14ac:dyDescent="0.2">
      <c r="A33" s="8" t="s">
        <v>562</v>
      </c>
      <c r="M33" s="9">
        <f>(IS!L20/IS!H20)^(1/4)-1</f>
        <v>0.1107279454493233</v>
      </c>
    </row>
    <row r="34" spans="1:19" ht="15" customHeight="1" x14ac:dyDescent="0.2">
      <c r="A34" s="8" t="s">
        <v>563</v>
      </c>
      <c r="M34" s="28">
        <f>(FFO_AFFO!L29/FFO_AFFO!H29)^(1/4)-1</f>
        <v>0.13339435586763382</v>
      </c>
    </row>
    <row r="35" spans="1:19" ht="15" customHeight="1" x14ac:dyDescent="0.2">
      <c r="A35" s="8" t="s">
        <v>564</v>
      </c>
      <c r="M35" s="14">
        <f>(M33-M34)*10000</f>
        <v>-226.66410418310522</v>
      </c>
      <c r="S35" s="14">
        <f>M35</f>
        <v>-226.66410418310522</v>
      </c>
    </row>
    <row r="36" spans="1:19" ht="15" customHeight="1" x14ac:dyDescent="0.2">
      <c r="A36" s="8" t="s">
        <v>565</v>
      </c>
      <c r="M36" s="19">
        <f>IS!L20-IS!H20</f>
        <v>143221</v>
      </c>
      <c r="S36" s="14">
        <f>M36</f>
        <v>143221</v>
      </c>
    </row>
    <row r="37" spans="1:19" ht="15" customHeight="1" x14ac:dyDescent="0.2">
      <c r="A37" s="8" t="s">
        <v>566</v>
      </c>
      <c r="M37" s="19">
        <f>CFS!L44-CFS!H44</f>
        <v>36690</v>
      </c>
      <c r="S37" s="14">
        <f>M37</f>
        <v>36690</v>
      </c>
    </row>
    <row r="38" spans="1:19" ht="15" customHeight="1" x14ac:dyDescent="0.2">
      <c r="A38" s="8" t="s">
        <v>567</v>
      </c>
      <c r="M38" s="9">
        <f>IF(M36&lt;&gt;0,M37/M36,0)</f>
        <v>0.25617751586708654</v>
      </c>
      <c r="S38" s="9">
        <f>M38</f>
        <v>0.25617751586708654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3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568</v>
      </c>
    </row>
    <row r="3" spans="1:17" ht="15" customHeight="1" x14ac:dyDescent="0.2">
      <c r="A3" s="4" t="s">
        <v>569</v>
      </c>
    </row>
    <row r="5" spans="1:17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7" ht="15" customHeight="1" x14ac:dyDescent="0.2">
      <c r="A7" s="3" t="s">
        <v>522</v>
      </c>
    </row>
    <row r="8" spans="1:17" ht="15" customHeight="1" x14ac:dyDescent="0.2">
      <c r="A8" s="8" t="s">
        <v>165</v>
      </c>
      <c r="B8" s="19">
        <f>IS!B20</f>
        <v>294702</v>
      </c>
      <c r="C8" s="19">
        <f>IS!C20</f>
        <v>253099</v>
      </c>
      <c r="D8" s="19">
        <f>IS!D20</f>
        <v>216083</v>
      </c>
      <c r="E8" s="19">
        <f>IS!E20</f>
        <v>226032</v>
      </c>
      <c r="F8" s="19">
        <f>IS!F20</f>
        <v>258793</v>
      </c>
      <c r="G8" s="19">
        <f>IS!G20</f>
        <v>269144</v>
      </c>
      <c r="H8" s="19">
        <f>IS!H20</f>
        <v>274340</v>
      </c>
      <c r="I8" s="19">
        <f>IS!I20</f>
        <v>287320</v>
      </c>
      <c r="J8" s="19">
        <f>IS!J20</f>
        <v>332989</v>
      </c>
      <c r="K8" s="19">
        <f>IS!K20</f>
        <v>382334</v>
      </c>
      <c r="L8" s="19">
        <f>IS!L20</f>
        <v>417561</v>
      </c>
      <c r="M8" s="19">
        <f>IS!M20</f>
        <v>432769.87044810236</v>
      </c>
      <c r="N8" s="19">
        <f>IS!N20</f>
        <v>455126.51169927896</v>
      </c>
      <c r="O8" s="19">
        <f>IS!O20</f>
        <v>476362.87678193656</v>
      </c>
      <c r="P8" s="19">
        <f>IS!P20</f>
        <v>494896.63562157331</v>
      </c>
      <c r="Q8" s="19">
        <f>IS!Q20</f>
        <v>510839.88222043857</v>
      </c>
    </row>
    <row r="9" spans="1:17" ht="15" customHeight="1" x14ac:dyDescent="0.2">
      <c r="A9" s="8" t="s">
        <v>570</v>
      </c>
      <c r="B9" s="19">
        <f>BS!B8</f>
        <v>5540299</v>
      </c>
      <c r="C9" s="19">
        <f>BS!C8</f>
        <v>5612568</v>
      </c>
      <c r="D9" s="19">
        <f>BS!D8</f>
        <v>5588000</v>
      </c>
      <c r="E9" s="19">
        <f>BS!E8</f>
        <v>5810000</v>
      </c>
      <c r="F9" s="19">
        <f>BS!F8</f>
        <v>5948400</v>
      </c>
      <c r="G9" s="19">
        <f>BS!G8</f>
        <v>5948955</v>
      </c>
      <c r="H9" s="19">
        <f>BS!H8</f>
        <v>6360000</v>
      </c>
      <c r="I9" s="19">
        <f>BS!I8</f>
        <v>6672000</v>
      </c>
      <c r="J9" s="19">
        <f>BS!J8</f>
        <v>7075000</v>
      </c>
      <c r="K9" s="19">
        <f>BS!K8</f>
        <v>7540000</v>
      </c>
      <c r="L9" s="19">
        <f>BS!L8</f>
        <v>7618000</v>
      </c>
      <c r="M9" s="19">
        <f>BS!M8</f>
        <v>9110944.6410126816</v>
      </c>
      <c r="N9" s="19">
        <f>BS!N8</f>
        <v>9581610.7726163995</v>
      </c>
      <c r="O9" s="19">
        <f>BS!O8</f>
        <v>10585841.706265258</v>
      </c>
      <c r="P9" s="19">
        <f>BS!P8</f>
        <v>10997703.013812741</v>
      </c>
      <c r="Q9" s="19">
        <f>BS!Q8</f>
        <v>11351997.382676413</v>
      </c>
    </row>
    <row r="11" spans="1:17" ht="15" customHeight="1" x14ac:dyDescent="0.2">
      <c r="A11" s="8" t="s">
        <v>571</v>
      </c>
      <c r="B11" s="19">
        <f>BS!B50</f>
        <v>2035431</v>
      </c>
      <c r="C11" s="19">
        <f>BS!C50</f>
        <v>2336564</v>
      </c>
      <c r="D11" s="19">
        <f>BS!D50</f>
        <v>2522988</v>
      </c>
      <c r="E11" s="19">
        <f>BS!E50</f>
        <v>2681109</v>
      </c>
      <c r="F11" s="19">
        <f>BS!F50</f>
        <v>2706482</v>
      </c>
      <c r="G11" s="19">
        <f>BS!G50</f>
        <v>2843830</v>
      </c>
      <c r="H11" s="19">
        <f>BS!H50</f>
        <v>2914137</v>
      </c>
      <c r="I11" s="19">
        <f>BS!I50</f>
        <v>3161738</v>
      </c>
      <c r="J11" s="19">
        <f>BS!J50</f>
        <v>3263417</v>
      </c>
      <c r="K11" s="19">
        <f>BS!K50</f>
        <v>3228081</v>
      </c>
      <c r="L11" s="19">
        <f>BS!L50</f>
        <v>3445395</v>
      </c>
      <c r="M11" s="19">
        <f>BS!M50</f>
        <v>3637540.1258047111</v>
      </c>
      <c r="N11" s="19">
        <f>BS!N50</f>
        <v>3761382.5058421316</v>
      </c>
      <c r="O11" s="19">
        <f>BS!O50</f>
        <v>3817728.3366258973</v>
      </c>
      <c r="P11" s="19">
        <f>BS!P50</f>
        <v>3858619.0666002845</v>
      </c>
      <c r="Q11" s="19">
        <f>BS!Q50</f>
        <v>3886361.9106974159</v>
      </c>
    </row>
    <row r="12" spans="1:17" ht="15" customHeight="1" x14ac:dyDescent="0.2">
      <c r="A12" s="8" t="s">
        <v>572</v>
      </c>
      <c r="B12" s="19">
        <f>BS!B20-BS!B8</f>
        <v>293543</v>
      </c>
      <c r="C12" s="19">
        <f>BS!C20-BS!C8</f>
        <v>148915</v>
      </c>
      <c r="D12" s="19">
        <f>BS!D20-BS!D8</f>
        <v>124347</v>
      </c>
      <c r="E12" s="19">
        <f>BS!E20-BS!E8</f>
        <v>96983</v>
      </c>
      <c r="F12" s="19">
        <f>BS!F20-BS!F8</f>
        <v>94576</v>
      </c>
      <c r="G12" s="19">
        <f>BS!G20-BS!G8</f>
        <v>114148</v>
      </c>
      <c r="H12" s="19">
        <f>BS!H20-BS!H8</f>
        <v>117265</v>
      </c>
      <c r="I12" s="19">
        <f>BS!I20-BS!I8</f>
        <v>104668</v>
      </c>
      <c r="J12" s="19">
        <f>BS!J20-BS!J8</f>
        <v>107900</v>
      </c>
      <c r="K12" s="19">
        <f>BS!K20-BS!K8</f>
        <v>114500</v>
      </c>
      <c r="L12" s="19">
        <f>BS!L20-BS!L8</f>
        <v>102000</v>
      </c>
      <c r="M12" s="19">
        <f>BS!M20-BS!M8</f>
        <v>102000</v>
      </c>
      <c r="N12" s="19">
        <f>BS!N20-BS!N8</f>
        <v>102000</v>
      </c>
      <c r="O12" s="19">
        <f>BS!O20-BS!O8</f>
        <v>102000</v>
      </c>
      <c r="P12" s="19">
        <f>BS!P20-BS!P8</f>
        <v>102000</v>
      </c>
      <c r="Q12" s="19">
        <f>BS!Q20-BS!Q8</f>
        <v>102000</v>
      </c>
    </row>
    <row r="13" spans="1:17" ht="15" customHeight="1" x14ac:dyDescent="0.2">
      <c r="A13" s="8" t="s">
        <v>573</v>
      </c>
      <c r="B13" s="12">
        <v>47.45</v>
      </c>
      <c r="C13" s="12">
        <v>44.25</v>
      </c>
      <c r="D13" s="12">
        <v>42.5</v>
      </c>
      <c r="E13" s="12">
        <v>37.85</v>
      </c>
      <c r="F13" s="12">
        <v>42</v>
      </c>
      <c r="G13" s="12">
        <v>34</v>
      </c>
      <c r="H13" s="12">
        <v>54</v>
      </c>
      <c r="I13" s="12">
        <v>46.5</v>
      </c>
      <c r="J13" s="12">
        <v>61.5</v>
      </c>
      <c r="K13" s="12">
        <v>67.08</v>
      </c>
      <c r="L13" s="12">
        <v>62</v>
      </c>
      <c r="M13" s="36">
        <v>65</v>
      </c>
      <c r="N13" s="36">
        <v>68</v>
      </c>
      <c r="O13" s="36">
        <v>72</v>
      </c>
      <c r="P13" s="36">
        <v>76</v>
      </c>
      <c r="Q13" s="36">
        <v>80</v>
      </c>
    </row>
    <row r="14" spans="1:17" ht="15" customHeight="1" x14ac:dyDescent="0.2">
      <c r="A14" s="8" t="s">
        <v>160</v>
      </c>
      <c r="B14" s="19">
        <f>BS!B53</f>
        <v>46847</v>
      </c>
      <c r="C14" s="19">
        <f>BS!C53</f>
        <v>46181</v>
      </c>
      <c r="D14" s="19">
        <f>BS!D53</f>
        <v>46338</v>
      </c>
      <c r="E14" s="19">
        <f>BS!E53</f>
        <v>46392</v>
      </c>
      <c r="F14" s="19">
        <f>BS!F53</f>
        <v>46461</v>
      </c>
      <c r="G14" s="19">
        <f>BS!G53</f>
        <v>46549</v>
      </c>
      <c r="H14" s="19">
        <f>BS!H53</f>
        <v>46137</v>
      </c>
      <c r="I14" s="19">
        <f>BS!I53</f>
        <v>45723</v>
      </c>
      <c r="J14" s="19">
        <f>BS!J53</f>
        <v>45823</v>
      </c>
      <c r="K14" s="19">
        <f>BS!K53</f>
        <v>45674</v>
      </c>
      <c r="L14" s="19">
        <f>BS!L53</f>
        <v>44776</v>
      </c>
      <c r="M14" s="17">
        <f>Assumptions!B82</f>
        <v>49100</v>
      </c>
      <c r="N14" s="17">
        <f>Assumptions!C82</f>
        <v>49100</v>
      </c>
      <c r="O14" s="17">
        <f>Assumptions!D82</f>
        <v>49100</v>
      </c>
      <c r="P14" s="17">
        <f>Assumptions!E82</f>
        <v>49100</v>
      </c>
      <c r="Q14" s="17">
        <f>Assumptions!F82</f>
        <v>49100</v>
      </c>
    </row>
    <row r="16" spans="1:17" ht="15" customHeight="1" x14ac:dyDescent="0.2">
      <c r="A16" s="3" t="s">
        <v>574</v>
      </c>
    </row>
    <row r="17" spans="1:17" ht="15" customHeight="1" x14ac:dyDescent="0.2">
      <c r="A17" s="8" t="s">
        <v>575</v>
      </c>
      <c r="B17" s="29">
        <v>5.3800000000000001E-2</v>
      </c>
      <c r="C17" s="29">
        <v>5.3800000000000001E-2</v>
      </c>
      <c r="D17" s="29">
        <v>5.2900000000000003E-2</v>
      </c>
      <c r="E17" s="29">
        <v>5.28E-2</v>
      </c>
      <c r="F17" s="29">
        <v>5.2699999999999997E-2</v>
      </c>
      <c r="G17" s="29">
        <v>5.2699999999999997E-2</v>
      </c>
      <c r="H17" s="29">
        <v>4.8000000000000001E-2</v>
      </c>
      <c r="I17" s="29">
        <v>4.8000000000000001E-2</v>
      </c>
      <c r="J17" s="29">
        <v>4.8000000000000001E-2</v>
      </c>
      <c r="K17" s="29">
        <v>4.9000000000000002E-2</v>
      </c>
      <c r="L17" s="29">
        <v>0.05</v>
      </c>
    </row>
    <row r="19" spans="1:17" ht="15" customHeight="1" x14ac:dyDescent="0.2">
      <c r="A19" s="3" t="s">
        <v>576</v>
      </c>
    </row>
    <row r="20" spans="1:17" ht="15" customHeight="1" x14ac:dyDescent="0.2">
      <c r="A20" s="8" t="s">
        <v>577</v>
      </c>
      <c r="B20" s="16">
        <f t="shared" ref="B20:Q20" si="0">IF(B9&lt;&gt;0,B8/B9,0)</f>
        <v>5.3192436003905205E-2</v>
      </c>
      <c r="C20" s="16">
        <f t="shared" si="0"/>
        <v>4.5095043837330789E-2</v>
      </c>
      <c r="D20" s="16">
        <f t="shared" si="0"/>
        <v>3.8669112383679316E-2</v>
      </c>
      <c r="E20" s="16">
        <f t="shared" si="0"/>
        <v>3.8903958691910497E-2</v>
      </c>
      <c r="F20" s="16">
        <f t="shared" si="0"/>
        <v>4.3506321027503195E-2</v>
      </c>
      <c r="G20" s="16">
        <f t="shared" si="0"/>
        <v>4.5242231618830536E-2</v>
      </c>
      <c r="H20" s="16">
        <f t="shared" si="0"/>
        <v>4.3135220125786161E-2</v>
      </c>
      <c r="I20" s="16">
        <f t="shared" si="0"/>
        <v>4.3063549160671462E-2</v>
      </c>
      <c r="J20" s="16">
        <f t="shared" si="0"/>
        <v>4.7065583038869256E-2</v>
      </c>
      <c r="K20" s="16">
        <f t="shared" si="0"/>
        <v>5.0707427055702921E-2</v>
      </c>
      <c r="L20" s="16">
        <f t="shared" si="0"/>
        <v>5.4812417957469155E-2</v>
      </c>
      <c r="M20" s="16">
        <f t="shared" si="0"/>
        <v>4.7500000000000001E-2</v>
      </c>
      <c r="N20" s="16">
        <f t="shared" si="0"/>
        <v>4.7500000000000001E-2</v>
      </c>
      <c r="O20" s="16">
        <f t="shared" si="0"/>
        <v>4.4999999999999998E-2</v>
      </c>
      <c r="P20" s="16">
        <f t="shared" si="0"/>
        <v>4.4999999999999998E-2</v>
      </c>
      <c r="Q20" s="16">
        <f t="shared" si="0"/>
        <v>4.4999999999999998E-2</v>
      </c>
    </row>
    <row r="22" spans="1:17" ht="15" customHeight="1" x14ac:dyDescent="0.2">
      <c r="A22" s="3" t="s">
        <v>578</v>
      </c>
    </row>
    <row r="23" spans="1:17" ht="15" customHeight="1" x14ac:dyDescent="0.2">
      <c r="A23" s="8" t="s">
        <v>579</v>
      </c>
      <c r="B23" s="19">
        <f>BS!B25+B11-B12</f>
        <v>4952626</v>
      </c>
      <c r="C23" s="19">
        <f>BS!C25+C11-C12</f>
        <v>5208968</v>
      </c>
      <c r="D23" s="19">
        <f>BS!D25+D11-D12</f>
        <v>5213641</v>
      </c>
      <c r="E23" s="19">
        <f>BS!E25+E11-E12</f>
        <v>5524126</v>
      </c>
      <c r="F23" s="19">
        <f>BS!F25+F11-F12</f>
        <v>5729961</v>
      </c>
      <c r="G23" s="19">
        <f>BS!G25+G11-G12</f>
        <v>5694682</v>
      </c>
      <c r="H23" s="19">
        <f>BS!H25+H11-H12</f>
        <v>6001872</v>
      </c>
      <c r="I23" s="19">
        <f>BS!I25+I11-I12</f>
        <v>6272070</v>
      </c>
      <c r="J23" s="19">
        <f>BS!J25+J11-J12</f>
        <v>6515517</v>
      </c>
      <c r="K23" s="19">
        <f>BS!K25+K11-K12</f>
        <v>6883581</v>
      </c>
      <c r="L23" s="19">
        <f>BS!L25+L11-L12</f>
        <v>6943395</v>
      </c>
      <c r="M23" s="19">
        <f>BS!M25+M11-M12</f>
        <v>8534944.6410126816</v>
      </c>
      <c r="N23" s="19">
        <f>BS!N25+N11-N12</f>
        <v>9004610.7726163995</v>
      </c>
      <c r="O23" s="19">
        <f>BS!O25+O11-O12</f>
        <v>10007841.706265258</v>
      </c>
      <c r="P23" s="19">
        <f>BS!P25+P11-P12</f>
        <v>10418703.013812741</v>
      </c>
      <c r="Q23" s="19">
        <f>BS!Q25+Q11-Q12</f>
        <v>10771997.382676413</v>
      </c>
    </row>
    <row r="24" spans="1:17" ht="15" customHeight="1" x14ac:dyDescent="0.2">
      <c r="A24" s="8" t="s">
        <v>580</v>
      </c>
      <c r="B24" s="16">
        <f t="shared" ref="B24:Q24" si="1">IF(B23&lt;&gt;0,B8/B23,0)</f>
        <v>5.9504190302276001E-2</v>
      </c>
      <c r="C24" s="16">
        <f t="shared" si="1"/>
        <v>4.8589087128198906E-2</v>
      </c>
      <c r="D24" s="16">
        <f t="shared" si="1"/>
        <v>4.1445699847764736E-2</v>
      </c>
      <c r="E24" s="16">
        <f t="shared" si="1"/>
        <v>4.0917241931121777E-2</v>
      </c>
      <c r="F24" s="16">
        <f t="shared" si="1"/>
        <v>4.5164879830770228E-2</v>
      </c>
      <c r="G24" s="16">
        <f t="shared" si="1"/>
        <v>4.7262340548603066E-2</v>
      </c>
      <c r="H24" s="16">
        <f t="shared" si="1"/>
        <v>4.5709072102837249E-2</v>
      </c>
      <c r="I24" s="16">
        <f t="shared" si="1"/>
        <v>4.5809437713545925E-2</v>
      </c>
      <c r="J24" s="16">
        <f t="shared" si="1"/>
        <v>5.1107072546967496E-2</v>
      </c>
      <c r="K24" s="16">
        <f t="shared" si="1"/>
        <v>5.5542892572920985E-2</v>
      </c>
      <c r="L24" s="16">
        <f t="shared" si="1"/>
        <v>6.0137872035221966E-2</v>
      </c>
      <c r="M24" s="16">
        <f t="shared" si="1"/>
        <v>5.0705644693760273E-2</v>
      </c>
      <c r="N24" s="16">
        <f t="shared" si="1"/>
        <v>5.0543718456254431E-2</v>
      </c>
      <c r="O24" s="16">
        <f t="shared" si="1"/>
        <v>4.7598961970363382E-2</v>
      </c>
      <c r="P24" s="16">
        <f t="shared" si="1"/>
        <v>4.7500791122029026E-2</v>
      </c>
      <c r="Q24" s="16">
        <f t="shared" si="1"/>
        <v>4.7422948973416403E-2</v>
      </c>
    </row>
    <row r="25" spans="1:17" ht="15" customHeight="1" x14ac:dyDescent="0.2">
      <c r="A25" s="8" t="s">
        <v>581</v>
      </c>
      <c r="B25" s="14">
        <f t="shared" ref="B25:Q25" si="2">(B20-B24)*10000</f>
        <v>-63.117542983707963</v>
      </c>
      <c r="C25" s="14">
        <f t="shared" si="2"/>
        <v>-34.940432908681167</v>
      </c>
      <c r="D25" s="14">
        <f t="shared" si="2"/>
        <v>-27.7658746408542</v>
      </c>
      <c r="E25" s="14">
        <f t="shared" si="2"/>
        <v>-20.132832392112803</v>
      </c>
      <c r="F25" s="14">
        <f t="shared" si="2"/>
        <v>-16.585588032670337</v>
      </c>
      <c r="G25" s="14">
        <f t="shared" si="2"/>
        <v>-20.201089297725293</v>
      </c>
      <c r="H25" s="14">
        <f t="shared" si="2"/>
        <v>-25.73851977051088</v>
      </c>
      <c r="I25" s="14">
        <f t="shared" si="2"/>
        <v>-27.458885528744634</v>
      </c>
      <c r="J25" s="14">
        <f t="shared" si="2"/>
        <v>-40.41489508098239</v>
      </c>
      <c r="K25" s="14">
        <f t="shared" si="2"/>
        <v>-48.354655172180642</v>
      </c>
      <c r="L25" s="14">
        <f t="shared" si="2"/>
        <v>-53.254540777528113</v>
      </c>
      <c r="M25" s="14">
        <f t="shared" si="2"/>
        <v>-32.056446937602722</v>
      </c>
      <c r="N25" s="14">
        <f t="shared" si="2"/>
        <v>-30.43718456254431</v>
      </c>
      <c r="O25" s="14">
        <f t="shared" si="2"/>
        <v>-25.989619703633839</v>
      </c>
      <c r="P25" s="14">
        <f t="shared" si="2"/>
        <v>-25.007911220290278</v>
      </c>
      <c r="Q25" s="14">
        <f t="shared" si="2"/>
        <v>-24.229489734164041</v>
      </c>
    </row>
    <row r="26" spans="1:17" ht="15" customHeight="1" x14ac:dyDescent="0.2">
      <c r="A26" s="3" t="s">
        <v>582</v>
      </c>
    </row>
    <row r="27" spans="1:17" ht="15" customHeight="1" x14ac:dyDescent="0.2">
      <c r="A27" s="8" t="s">
        <v>583</v>
      </c>
      <c r="B27" s="14">
        <f t="shared" ref="B27:Q27" si="3">B13*B14</f>
        <v>2222890.15</v>
      </c>
      <c r="C27" s="14">
        <f t="shared" si="3"/>
        <v>2043509.25</v>
      </c>
      <c r="D27" s="14">
        <f t="shared" si="3"/>
        <v>1969365</v>
      </c>
      <c r="E27" s="14">
        <f t="shared" si="3"/>
        <v>1755937.2</v>
      </c>
      <c r="F27" s="14">
        <f t="shared" si="3"/>
        <v>1951362</v>
      </c>
      <c r="G27" s="14">
        <f t="shared" si="3"/>
        <v>1582666</v>
      </c>
      <c r="H27" s="14">
        <f t="shared" si="3"/>
        <v>2491398</v>
      </c>
      <c r="I27" s="14">
        <f t="shared" si="3"/>
        <v>2126119.5</v>
      </c>
      <c r="J27" s="14">
        <f t="shared" si="3"/>
        <v>2818114.5</v>
      </c>
      <c r="K27" s="14">
        <f t="shared" si="3"/>
        <v>3063811.92</v>
      </c>
      <c r="L27" s="14">
        <f t="shared" si="3"/>
        <v>2776112</v>
      </c>
      <c r="M27" s="14">
        <f t="shared" si="3"/>
        <v>3191500</v>
      </c>
      <c r="N27" s="14">
        <f t="shared" si="3"/>
        <v>3338800</v>
      </c>
      <c r="O27" s="14">
        <f t="shared" si="3"/>
        <v>3535200</v>
      </c>
      <c r="P27" s="14">
        <f t="shared" si="3"/>
        <v>3731600</v>
      </c>
      <c r="Q27" s="14">
        <f t="shared" si="3"/>
        <v>3928000</v>
      </c>
    </row>
    <row r="28" spans="1:17" ht="15" customHeight="1" x14ac:dyDescent="0.2">
      <c r="A28" s="8" t="s">
        <v>584</v>
      </c>
      <c r="B28" s="14">
        <f t="shared" ref="B28:Q28" si="4">B27+B11-B12</f>
        <v>3964778.1500000004</v>
      </c>
      <c r="C28" s="14">
        <f t="shared" si="4"/>
        <v>4231158.25</v>
      </c>
      <c r="D28" s="14">
        <f t="shared" si="4"/>
        <v>4368006</v>
      </c>
      <c r="E28" s="14">
        <f t="shared" si="4"/>
        <v>4340063.2</v>
      </c>
      <c r="F28" s="14">
        <f t="shared" si="4"/>
        <v>4563268</v>
      </c>
      <c r="G28" s="14">
        <f t="shared" si="4"/>
        <v>4312348</v>
      </c>
      <c r="H28" s="14">
        <f t="shared" si="4"/>
        <v>5288270</v>
      </c>
      <c r="I28" s="14">
        <f t="shared" si="4"/>
        <v>5183189.5</v>
      </c>
      <c r="J28" s="14">
        <f t="shared" si="4"/>
        <v>5973631.5</v>
      </c>
      <c r="K28" s="14">
        <f t="shared" si="4"/>
        <v>6177392.9199999999</v>
      </c>
      <c r="L28" s="14">
        <f t="shared" si="4"/>
        <v>6119507</v>
      </c>
      <c r="M28" s="14">
        <f t="shared" si="4"/>
        <v>6727040.1258047111</v>
      </c>
      <c r="N28" s="14">
        <f t="shared" si="4"/>
        <v>6998182.5058421316</v>
      </c>
      <c r="O28" s="14">
        <f t="shared" si="4"/>
        <v>7250928.3366258973</v>
      </c>
      <c r="P28" s="14">
        <f t="shared" si="4"/>
        <v>7488219.0666002845</v>
      </c>
      <c r="Q28" s="14">
        <f t="shared" si="4"/>
        <v>7712361.9106974155</v>
      </c>
    </row>
    <row r="29" spans="1:17" ht="15" customHeight="1" x14ac:dyDescent="0.2">
      <c r="A29" s="8" t="s">
        <v>585</v>
      </c>
      <c r="B29" s="16">
        <f t="shared" ref="B29:Q29" si="5">IF(B28&lt;&gt;0,B8/B28,0)</f>
        <v>7.4330010116707285E-2</v>
      </c>
      <c r="C29" s="16">
        <f t="shared" si="5"/>
        <v>5.9817899744118531E-2</v>
      </c>
      <c r="D29" s="16">
        <f t="shared" si="5"/>
        <v>4.9469483329464291E-2</v>
      </c>
      <c r="E29" s="16">
        <f t="shared" si="5"/>
        <v>5.208034758572179E-2</v>
      </c>
      <c r="F29" s="16">
        <f t="shared" si="5"/>
        <v>5.6712207128750712E-2</v>
      </c>
      <c r="G29" s="16">
        <f t="shared" si="5"/>
        <v>6.2412402709614345E-2</v>
      </c>
      <c r="H29" s="16">
        <f t="shared" si="5"/>
        <v>5.1877078893475558E-2</v>
      </c>
      <c r="I29" s="16">
        <f t="shared" si="5"/>
        <v>5.5433049476581939E-2</v>
      </c>
      <c r="J29" s="16">
        <f t="shared" si="5"/>
        <v>5.5743143848093077E-2</v>
      </c>
      <c r="K29" s="16">
        <f t="shared" si="5"/>
        <v>6.189245284400656E-2</v>
      </c>
      <c r="L29" s="16">
        <f t="shared" si="5"/>
        <v>6.8234418230095989E-2</v>
      </c>
      <c r="M29" s="16">
        <f t="shared" si="5"/>
        <v>6.4332880784821092E-2</v>
      </c>
      <c r="N29" s="16">
        <f t="shared" si="5"/>
        <v>6.5034958908164534E-2</v>
      </c>
      <c r="O29" s="16">
        <f t="shared" si="5"/>
        <v>6.5696812141382205E-2</v>
      </c>
      <c r="P29" s="16">
        <f t="shared" si="5"/>
        <v>6.60900317178168E-2</v>
      </c>
      <c r="Q29" s="16">
        <f t="shared" si="5"/>
        <v>6.6236502920315396E-2</v>
      </c>
    </row>
    <row r="31" spans="1:17" ht="15" customHeight="1" x14ac:dyDescent="0.2">
      <c r="A31" s="3" t="s">
        <v>586</v>
      </c>
    </row>
    <row r="32" spans="1:17" ht="15" customHeight="1" x14ac:dyDescent="0.2">
      <c r="A32" s="8" t="s">
        <v>587</v>
      </c>
      <c r="B32" s="14">
        <f t="shared" ref="B32:Q32" si="6">(B20-B29)*10000</f>
        <v>-211.37574112802079</v>
      </c>
      <c r="C32" s="14">
        <f t="shared" si="6"/>
        <v>-147.22855906787743</v>
      </c>
      <c r="D32" s="14">
        <f t="shared" si="6"/>
        <v>-108.00370945784975</v>
      </c>
      <c r="E32" s="14">
        <f t="shared" si="6"/>
        <v>-131.76388893811293</v>
      </c>
      <c r="F32" s="14">
        <f t="shared" si="6"/>
        <v>-132.05886101247518</v>
      </c>
      <c r="G32" s="14">
        <f t="shared" si="6"/>
        <v>-171.70171090783808</v>
      </c>
      <c r="H32" s="14">
        <f t="shared" si="6"/>
        <v>-87.418587676893964</v>
      </c>
      <c r="I32" s="14">
        <f t="shared" si="6"/>
        <v>-123.69500315910477</v>
      </c>
      <c r="J32" s="14">
        <f t="shared" si="6"/>
        <v>-86.775608092238201</v>
      </c>
      <c r="K32" s="14">
        <f t="shared" si="6"/>
        <v>-111.85025788303639</v>
      </c>
      <c r="L32" s="14">
        <f t="shared" si="6"/>
        <v>-134.22000272626835</v>
      </c>
      <c r="M32" s="14">
        <f t="shared" si="6"/>
        <v>-168.32880784821091</v>
      </c>
      <c r="N32" s="14">
        <f t="shared" si="6"/>
        <v>-175.34958908164532</v>
      </c>
      <c r="O32" s="14">
        <f t="shared" si="6"/>
        <v>-206.96812141382208</v>
      </c>
      <c r="P32" s="14">
        <f t="shared" si="6"/>
        <v>-210.90031717816802</v>
      </c>
      <c r="Q32" s="14">
        <f t="shared" si="6"/>
        <v>-212.36502920315397</v>
      </c>
    </row>
    <row r="33" spans="1:17" ht="15" customHeight="1" x14ac:dyDescent="0.2">
      <c r="A33" s="8" t="s">
        <v>588</v>
      </c>
      <c r="B33" s="28">
        <f>IF(BS!B52&lt;&gt;0,B13/BS!B52-1,0)</f>
        <v>-0.3076700278876694</v>
      </c>
      <c r="C33" s="28">
        <f>IF(BS!C52&lt;&gt;0,C13/BS!C52-1,0)</f>
        <v>-0.32363671297204966</v>
      </c>
      <c r="D33" s="28">
        <f>IF(BS!D52&lt;&gt;0,D13/BS!D52-1,0)</f>
        <v>-0.30040319715808173</v>
      </c>
      <c r="E33" s="28">
        <f>IF(BS!E52&lt;&gt;0,E13/BS!E52-1,0)</f>
        <v>-0.40274244897959177</v>
      </c>
      <c r="F33" s="28">
        <f>IF(BS!F52&lt;&gt;0,F13/BS!F52-1,0)</f>
        <v>-0.3741733227925742</v>
      </c>
      <c r="G33" s="28">
        <f>IF(BS!G52&lt;&gt;0,G13/BS!G52-1,0)</f>
        <v>-0.46621720067453631</v>
      </c>
      <c r="H33" s="28">
        <f>IF(BS!H52&lt;&gt;0,H13/BS!H52-1,0)</f>
        <v>-0.22265273010920439</v>
      </c>
      <c r="I33" s="28">
        <f>IF(BS!I52&lt;&gt;0,I13/BS!I52-1,0)</f>
        <v>-0.33868755832037323</v>
      </c>
      <c r="J33" s="28">
        <f>IF(BS!J52&lt;&gt;0,J13/BS!J52-1,0)</f>
        <v>-0.16127544642857139</v>
      </c>
      <c r="K33" s="28">
        <f>IF(BS!K52&lt;&gt;0,K13/BS!K52-1,0)</f>
        <v>-0.18731779310344832</v>
      </c>
      <c r="L33" s="28">
        <f>IF(BS!L52&lt;&gt;0,L13/BS!L52-1,0)</f>
        <v>-0.22885777777777783</v>
      </c>
      <c r="M33" s="28">
        <f>IF(BS!M52&lt;&gt;0,M13/BS!M52-1,0)</f>
        <v>-0.36162397135666935</v>
      </c>
      <c r="N33" s="28">
        <f>IF(BS!N52&lt;&gt;0,N13/BS!N52-1,0)</f>
        <v>-0.3753681165023669</v>
      </c>
      <c r="O33" s="28">
        <f>IF(BS!O52&lt;&gt;0,O13/BS!O52-1,0)</f>
        <v>-0.43815379788641284</v>
      </c>
      <c r="P33" s="28">
        <f>IF(BS!P52&lt;&gt;0,P13/BS!P52-1,0)</f>
        <v>-0.43987496561622086</v>
      </c>
      <c r="Q33" s="28">
        <f>IF(BS!Q52&lt;&gt;0,Q13/BS!Q52-1,0)</f>
        <v>-0.43786420803552095</v>
      </c>
    </row>
    <row r="35" spans="1:17" ht="15" customHeight="1" x14ac:dyDescent="0.2">
      <c r="A35" s="3" t="s">
        <v>589</v>
      </c>
    </row>
    <row r="36" spans="1:17" ht="15" customHeight="1" x14ac:dyDescent="0.2">
      <c r="A36" s="8" t="s">
        <v>590</v>
      </c>
      <c r="B36" s="22">
        <f>IF(IS!B43&lt;&gt;0,(B8/0.055-B11+B12)/IS!B43,0)</f>
        <v>69.661360002661795</v>
      </c>
      <c r="C36" s="22">
        <f>IF(IS!C43&lt;&gt;0,(C8/0.055-C11+C12)/IS!C43,0)</f>
        <v>47.655868767025936</v>
      </c>
      <c r="D36" s="22">
        <f>IF(IS!D43&lt;&gt;0,(D8/0.055-D11+D12)/IS!D43,0)</f>
        <v>30.113176119926365</v>
      </c>
      <c r="E36" s="22">
        <f>IF(IS!E43&lt;&gt;0,(E8/0.055-E11+E12)/IS!E43,0)</f>
        <v>30.025127974821924</v>
      </c>
      <c r="F36" s="22">
        <f>IF(IS!F43&lt;&gt;0,(F8/0.055-F11+F12)/IS!F43,0)</f>
        <v>41.099051215785934</v>
      </c>
      <c r="G36" s="22">
        <f>IF(IS!G43&lt;&gt;0,(G8/0.055-G11+G12)/IS!G43,0)</f>
        <v>42.420021029744611</v>
      </c>
      <c r="H36" s="22">
        <f>IF(IS!H43&lt;&gt;0,(H8/0.055-H11+H12)/IS!H43,0)</f>
        <v>42.957398004195504</v>
      </c>
      <c r="I36" s="22">
        <f>IF(IS!I43&lt;&gt;0,(I8/0.055-I11+I12)/IS!I43,0)</f>
        <v>43.077550046716894</v>
      </c>
      <c r="J36" s="22">
        <f>IF(IS!J43&lt;&gt;0,(J8/0.055-J11+J12)/IS!J43,0)</f>
        <v>57.543839418482094</v>
      </c>
      <c r="K36" s="22">
        <f>IF(IS!K43&lt;&gt;0,(K8/0.055-K11+K12)/IS!K43,0)</f>
        <v>76.62253733808366</v>
      </c>
      <c r="L36" s="22">
        <f>IF(IS!L43&lt;&gt;0,(L8/0.055-L11+L12)/IS!L43,0)</f>
        <v>79.897381935801519</v>
      </c>
      <c r="M36" s="22">
        <f>IF(IS!M43&lt;&gt;0,(M8/0.055-M11+M12)/IS!M43,0)</f>
        <v>81.294614882771029</v>
      </c>
      <c r="N36" s="22">
        <f>IF(IS!N43&lt;&gt;0,(N8/0.055-N11+N12)/IS!N43,0)</f>
        <v>86.59746678422708</v>
      </c>
      <c r="O36" s="22">
        <f>IF(IS!O43&lt;&gt;0,(O8/0.055-O11+O12)/IS!O43,0)</f>
        <v>92.784519279383304</v>
      </c>
      <c r="P36" s="22">
        <f>IF(IS!P43&lt;&gt;0,(P8/0.055-P11+P12)/IS!P43,0)</f>
        <v>98.3396169055288</v>
      </c>
      <c r="Q36" s="22">
        <f>IF(IS!Q43&lt;&gt;0,(Q8/0.055-Q11+Q12)/IS!Q43,0)</f>
        <v>103.25771009110719</v>
      </c>
    </row>
    <row r="37" spans="1:17" ht="15" customHeight="1" x14ac:dyDescent="0.2">
      <c r="A37" s="8" t="s">
        <v>591</v>
      </c>
      <c r="B37" s="22">
        <f>IF(IS!B43&lt;&gt;0,(B8/0.05-B11+B12)/IS!B43,0)</f>
        <v>79.98289445803556</v>
      </c>
      <c r="C37" s="22">
        <f>IF(IS!C43&lt;&gt;0,(C8/0.05-C11+C12)/IS!C43,0)</f>
        <v>56.739922618342611</v>
      </c>
      <c r="D37" s="22">
        <f>IF(IS!D43&lt;&gt;0,(D8/0.05-D11+D12)/IS!D43,0)</f>
        <v>37.845019975203193</v>
      </c>
      <c r="E37" s="22">
        <f>IF(IS!E43&lt;&gt;0,(E8/0.05-E11+E12)/IS!E43,0)</f>
        <v>38.113601920919521</v>
      </c>
      <c r="F37" s="22">
        <f>IF(IS!F43&lt;&gt;0,(F8/0.05-F11+F12)/IS!F43,0)</f>
        <v>50.336775561488928</v>
      </c>
      <c r="G37" s="22">
        <f>IF(IS!G43&lt;&gt;0,(G8/0.05-G11+G12)/IS!G43,0)</f>
        <v>52.013291511468339</v>
      </c>
      <c r="H37" s="22">
        <f>IF(IS!H43&lt;&gt;0,(H8/0.05-H11+H12)/IS!H43,0)</f>
        <v>52.736447938518239</v>
      </c>
      <c r="I37" s="22">
        <f>IF(IS!I43&lt;&gt;0,(I8/0.05-I11+I12)/IS!I43,0)</f>
        <v>53.462616543744907</v>
      </c>
      <c r="J37" s="22">
        <f>IF(IS!J43&lt;&gt;0,(J8/0.05-J11+J12)/IS!J43,0)</f>
        <v>69.562152612355092</v>
      </c>
      <c r="K37" s="22">
        <f>IF(IS!K43&lt;&gt;0,(K8/0.05-K11+K12)/IS!K43,0)</f>
        <v>90.500888418614863</v>
      </c>
      <c r="L37" s="22">
        <f>IF(IS!L43&lt;&gt;0,(L8/0.05-L11+L12)/IS!L43,0)</f>
        <v>94.174533624191369</v>
      </c>
      <c r="M37" s="22">
        <f>IF(IS!M43&lt;&gt;0,(M8/0.05-M11+M12)/IS!M43,0)</f>
        <v>96.057359909143258</v>
      </c>
      <c r="N37" s="22">
        <f>IF(IS!N43&lt;&gt;0,(N8/0.05-N11+N12)/IS!N43,0)</f>
        <v>102.12284668186579</v>
      </c>
      <c r="O37" s="22">
        <f>IF(IS!O43&lt;&gt;0,(O8/0.05-O11+O12)/IS!O43,0)</f>
        <v>109.03431893082239</v>
      </c>
      <c r="P37" s="22">
        <f>IF(IS!P43&lt;&gt;0,(P8/0.05-P11+P12)/IS!P43,0)</f>
        <v>115.22164438707658</v>
      </c>
      <c r="Q37" s="22">
        <f>IF(IS!Q43&lt;&gt;0,(Q8/0.05-Q11+Q12)/IS!Q43,0)</f>
        <v>120.6835972553725</v>
      </c>
    </row>
    <row r="38" spans="1:17" ht="15" customHeight="1" x14ac:dyDescent="0.2">
      <c r="A38" s="8" t="s">
        <v>592</v>
      </c>
      <c r="B38" s="22">
        <f>IF(IS!B43&lt;&gt;0,(B8/0.048-B11+B12)/IS!B43,0)</f>
        <v>84.713597750081874</v>
      </c>
      <c r="C38" s="22">
        <f>IF(IS!C43&lt;&gt;0,(C8/0.048-C11+C12)/IS!C43,0)</f>
        <v>60.903447300196078</v>
      </c>
      <c r="D38" s="22">
        <f>IF(IS!D43&lt;&gt;0,(D8/0.048-D11+D12)/IS!D43,0)</f>
        <v>41.388781742205083</v>
      </c>
      <c r="E38" s="22">
        <f>IF(IS!E43&lt;&gt;0,(E8/0.048-E11+E12)/IS!E43,0)</f>
        <v>41.820819146214255</v>
      </c>
      <c r="F38" s="22">
        <f>IF(IS!F43&lt;&gt;0,(F8/0.048-F11+F12)/IS!F43,0)</f>
        <v>54.570732553269458</v>
      </c>
      <c r="G38" s="22">
        <f>IF(IS!G43&lt;&gt;0,(G8/0.048-G11+G12)/IS!G43,0)</f>
        <v>56.410207148925053</v>
      </c>
      <c r="H38" s="22">
        <f>IF(IS!H43&lt;&gt;0,(H8/0.048-H11+H12)/IS!H43,0)</f>
        <v>57.218512491749507</v>
      </c>
      <c r="I38" s="22">
        <f>IF(IS!I43&lt;&gt;0,(I8/0.048-I11+I12)/IS!I43,0)</f>
        <v>58.222438688216073</v>
      </c>
      <c r="J38" s="22">
        <f>IF(IS!J43&lt;&gt;0,(J8/0.048-J11+J12)/IS!J43,0)</f>
        <v>75.070546159546865</v>
      </c>
      <c r="K38" s="22">
        <f>IF(IS!K43&lt;&gt;0,(K8/0.048-K11+K12)/IS!K43,0)</f>
        <v>96.861799330524988</v>
      </c>
      <c r="L38" s="22">
        <f>IF(IS!L43&lt;&gt;0,(L8/0.048-L11+L12)/IS!L43,0)</f>
        <v>100.71822814803672</v>
      </c>
      <c r="M38" s="22">
        <f>IF(IS!M43&lt;&gt;0,(M8/0.048-M11+M12)/IS!M43,0)</f>
        <v>102.82361804623055</v>
      </c>
      <c r="N38" s="22">
        <f>IF(IS!N43&lt;&gt;0,(N8/0.048-N11+N12)/IS!N43,0)</f>
        <v>109.2386458016169</v>
      </c>
      <c r="O38" s="22">
        <f>IF(IS!O43&lt;&gt;0,(O8/0.048-O11+O12)/IS!O43,0)</f>
        <v>116.48214377106531</v>
      </c>
      <c r="P38" s="22">
        <f>IF(IS!P43&lt;&gt;0,(P8/0.048-P11+P12)/IS!P43,0)</f>
        <v>122.95924031611932</v>
      </c>
      <c r="Q38" s="22">
        <f>IF(IS!Q43&lt;&gt;0,(Q8/0.048-Q11+Q12)/IS!Q43,0)</f>
        <v>128.67046220566081</v>
      </c>
    </row>
    <row r="39" spans="1:17" ht="15" customHeight="1" x14ac:dyDescent="0.2">
      <c r="A39" s="8" t="s">
        <v>593</v>
      </c>
      <c r="B39" s="22">
        <f>IF(IS!B43&lt;&gt;0,(B8/0.045-B11+B12)/IS!B43,0)</f>
        <v>92.598103236825722</v>
      </c>
      <c r="C39" s="22">
        <f>IF(IS!C43&lt;&gt;0,(C8/0.045-C11+C12)/IS!C43,0)</f>
        <v>67.84265510328521</v>
      </c>
      <c r="D39" s="22">
        <f>IF(IS!D43&lt;&gt;0,(D8/0.045-D11+D12)/IS!D43,0)</f>
        <v>47.295051353874896</v>
      </c>
      <c r="E39" s="22">
        <f>IF(IS!E43&lt;&gt;0,(E8/0.045-E11+E12)/IS!E43,0)</f>
        <v>47.999514521705485</v>
      </c>
      <c r="F39" s="22">
        <f>IF(IS!F43&lt;&gt;0,(F8/0.045-F11+F12)/IS!F43,0)</f>
        <v>61.627327539570359</v>
      </c>
      <c r="G39" s="22">
        <f>IF(IS!G43&lt;&gt;0,(G8/0.045-G11+G12)/IS!G43,0)</f>
        <v>63.738399878019564</v>
      </c>
      <c r="H39" s="22">
        <f>IF(IS!H43&lt;&gt;0,(H8/0.045-H11+H12)/IS!H43,0)</f>
        <v>64.688620080468269</v>
      </c>
      <c r="I39" s="22">
        <f>IF(IS!I43&lt;&gt;0,(I8/0.045-I11+I12)/IS!I43,0)</f>
        <v>66.155475595668037</v>
      </c>
      <c r="J39" s="22">
        <f>IF(IS!J43&lt;&gt;0,(J8/0.045-J11+J12)/IS!J43,0)</f>
        <v>84.251202071533186</v>
      </c>
      <c r="K39" s="22">
        <f>IF(IS!K43&lt;&gt;0,(K8/0.045-K11+K12)/IS!K43,0)</f>
        <v>107.4633175170419</v>
      </c>
      <c r="L39" s="22">
        <f>IF(IS!L43&lt;&gt;0,(L8/0.045-L11+L12)/IS!L43,0)</f>
        <v>111.62438568777895</v>
      </c>
      <c r="M39" s="22">
        <f>IF(IS!M43&lt;&gt;0,(M8/0.045-M11+M12)/IS!M43,0)</f>
        <v>114.10071494137603</v>
      </c>
      <c r="N39" s="22">
        <f>IF(IS!N43&lt;&gt;0,(N8/0.045-N11+N12)/IS!N43,0)</f>
        <v>121.09831100120202</v>
      </c>
      <c r="O39" s="22">
        <f>IF(IS!O43&lt;&gt;0,(O8/0.045-O11+O12)/IS!O43,0)</f>
        <v>128.89518517147019</v>
      </c>
      <c r="P39" s="22">
        <f>IF(IS!P43&lt;&gt;0,(P8/0.045-P11+P12)/IS!P43,0)</f>
        <v>135.85523353119055</v>
      </c>
      <c r="Q39" s="22">
        <f>IF(IS!Q43&lt;&gt;0,(Q8/0.045-Q11+Q12)/IS!Q43,0)</f>
        <v>141.98190378947464</v>
      </c>
    </row>
    <row r="40" spans="1:17" ht="15" customHeight="1" x14ac:dyDescent="0.2">
      <c r="A40" s="8" t="s">
        <v>594</v>
      </c>
      <c r="B40" s="22">
        <f>IF(IS!B43&lt;&gt;0,(B8/0.0425-B11+B12)/IS!B43,0)</f>
        <v>100.01881428317286</v>
      </c>
      <c r="C40" s="22">
        <f>IF(IS!C43&lt;&gt;0,(C8/0.0425-C11+C12)/IS!C43,0)</f>
        <v>74.37367421207496</v>
      </c>
      <c r="D40" s="22">
        <f>IF(IS!D43&lt;&gt;0,(D8/0.0425-D11+D12)/IS!D43,0)</f>
        <v>52.853893341328806</v>
      </c>
      <c r="E40" s="22">
        <f>IF(IS!E43&lt;&gt;0,(E8/0.0425-E11+E12)/IS!E43,0)</f>
        <v>53.814757228050148</v>
      </c>
      <c r="F40" s="22">
        <f>IF(IS!F43&lt;&gt;0,(F8/0.0425-F11+F12)/IS!F43,0)</f>
        <v>68.268828703147648</v>
      </c>
      <c r="G40" s="22">
        <f>IF(IS!G43&lt;&gt;0,(G8/0.0425-G11+G12)/IS!G43,0)</f>
        <v>70.635522446579103</v>
      </c>
      <c r="H40" s="22">
        <f>IF(IS!H43&lt;&gt;0,(H8/0.0425-H11+H12)/IS!H43,0)</f>
        <v>71.719309575732964</v>
      </c>
      <c r="I40" s="22">
        <f>IF(IS!I43&lt;&gt;0,(I8/0.0425-I11+I12)/IS!I43,0)</f>
        <v>73.621863273269852</v>
      </c>
      <c r="J40" s="22">
        <f>IF(IS!J43&lt;&gt;0,(J8/0.0425-J11+J12)/IS!J43,0)</f>
        <v>92.891819400461458</v>
      </c>
      <c r="K40" s="22">
        <f>IF(IS!K43&lt;&gt;0,(K8/0.0425-K11+K12)/IS!K43,0)</f>
        <v>117.44121698670482</v>
      </c>
      <c r="L40" s="22">
        <f>IF(IS!L43&lt;&gt;0,(L8/0.0425-L11+L12)/IS!L43,0)</f>
        <v>121.8890045487128</v>
      </c>
      <c r="M40" s="22">
        <f>IF(IS!M43&lt;&gt;0,(M8/0.0425-M11+M12)/IS!M43,0)</f>
        <v>124.71445319563055</v>
      </c>
      <c r="N40" s="22">
        <f>IF(IS!N43&lt;&gt;0,(N8/0.0425-N11+N12)/IS!N43,0)</f>
        <v>132.26034883610566</v>
      </c>
      <c r="O40" s="22">
        <f>IF(IS!O43&lt;&gt;0,(O8/0.0425-O11+O12)/IS!O43,0)</f>
        <v>140.57804766596882</v>
      </c>
      <c r="P40" s="22">
        <f>IF(IS!P43&lt;&gt;0,(P8/0.0425-P11+P12)/IS!P43,0)</f>
        <v>147.9926389100811</v>
      </c>
      <c r="Q40" s="22">
        <f>IF(IS!Q43&lt;&gt;0,(Q8/0.0425-Q11+Q12)/IS!Q43,0)</f>
        <v>154.51031939776996</v>
      </c>
    </row>
    <row r="41" spans="1:17" ht="15" customHeight="1" x14ac:dyDescent="0.2">
      <c r="A41" s="8" t="s">
        <v>595</v>
      </c>
      <c r="B41" s="22">
        <f>IF(IS!B43&lt;&gt;0,(B8/0.04-B11+B12)/IS!B43,0)</f>
        <v>108.3671142103134</v>
      </c>
      <c r="C41" s="22">
        <f>IF(IS!C43&lt;&gt;0,(C8/0.04-C11+C12)/IS!C43,0)</f>
        <v>81.721070709463461</v>
      </c>
      <c r="D41" s="22">
        <f>IF(IS!D43&lt;&gt;0,(D8/0.04-D11+D12)/IS!D43,0)</f>
        <v>59.107590577214495</v>
      </c>
      <c r="E41" s="22">
        <f>IF(IS!E43&lt;&gt;0,(E8/0.04-E11+E12)/IS!E43,0)</f>
        <v>60.356905272687911</v>
      </c>
      <c r="F41" s="22">
        <f>IF(IS!F43&lt;&gt;0,(F8/0.04-F11+F12)/IS!F43,0)</f>
        <v>75.740517512172133</v>
      </c>
      <c r="G41" s="22">
        <f>IF(IS!G43&lt;&gt;0,(G8/0.04-G11+G12)/IS!G43,0)</f>
        <v>78.394785336208585</v>
      </c>
      <c r="H41" s="22">
        <f>IF(IS!H43&lt;&gt;0,(H8/0.04-H11+H12)/IS!H43,0)</f>
        <v>79.628835257905777</v>
      </c>
      <c r="I41" s="22">
        <f>IF(IS!I43&lt;&gt;0,(I8/0.04-I11+I12)/IS!I43,0)</f>
        <v>82.021549410571936</v>
      </c>
      <c r="J41" s="22">
        <f>IF(IS!J43&lt;&gt;0,(J8/0.04-J11+J12)/IS!J43,0)</f>
        <v>102.6125138955058</v>
      </c>
      <c r="K41" s="22">
        <f>IF(IS!K43&lt;&gt;0,(K8/0.04-K11+K12)/IS!K43,0)</f>
        <v>128.66635389007567</v>
      </c>
      <c r="L41" s="22">
        <f>IF(IS!L43&lt;&gt;0,(L8/0.04-L11+L12)/IS!L43,0)</f>
        <v>133.43670076726343</v>
      </c>
      <c r="M41" s="22">
        <f>IF(IS!M43&lt;&gt;0,(M8/0.04-M11+M12)/IS!M43,0)</f>
        <v>136.65490873166695</v>
      </c>
      <c r="N41" s="22">
        <f>IF(IS!N43&lt;&gt;0,(N8/0.04-N11+N12)/IS!N43,0)</f>
        <v>144.81764140037228</v>
      </c>
      <c r="O41" s="22">
        <f>IF(IS!O43&lt;&gt;0,(O8/0.04-O11+O12)/IS!O43,0)</f>
        <v>153.72126797227986</v>
      </c>
      <c r="P41" s="22">
        <f>IF(IS!P43&lt;&gt;0,(P8/0.04-P11+P12)/IS!P43,0)</f>
        <v>161.64721996133298</v>
      </c>
      <c r="Q41" s="22">
        <f>IF(IS!Q43&lt;&gt;0,(Q8/0.04-Q11+Q12)/IS!Q43,0)</f>
        <v>168.60478695710222</v>
      </c>
    </row>
    <row r="43" spans="1:17" ht="15" customHeight="1" x14ac:dyDescent="0.2">
      <c r="A43" s="8" t="s">
        <v>596</v>
      </c>
      <c r="B43" s="9">
        <f t="shared" ref="B43:Q43" si="7">IF(B13&lt;&gt;0,B37/B13-1,0)</f>
        <v>0.68562475148652391</v>
      </c>
      <c r="C43" s="9">
        <f t="shared" si="7"/>
        <v>0.28225813826762969</v>
      </c>
      <c r="D43" s="9">
        <f t="shared" si="7"/>
        <v>-0.10952894175992489</v>
      </c>
      <c r="E43" s="9">
        <f t="shared" si="7"/>
        <v>6.9643836438446627E-3</v>
      </c>
      <c r="F43" s="9">
        <f t="shared" si="7"/>
        <v>0.19849465622592688</v>
      </c>
      <c r="G43" s="9">
        <f t="shared" si="7"/>
        <v>0.52980269151377457</v>
      </c>
      <c r="H43" s="9">
        <f t="shared" si="7"/>
        <v>-2.3399112249662291E-2</v>
      </c>
      <c r="I43" s="9">
        <f t="shared" si="7"/>
        <v>0.14973368911279361</v>
      </c>
      <c r="J43" s="9">
        <f t="shared" si="7"/>
        <v>0.1310919123960177</v>
      </c>
      <c r="K43" s="9">
        <f t="shared" si="7"/>
        <v>0.34914860492866517</v>
      </c>
      <c r="L43" s="9">
        <f t="shared" si="7"/>
        <v>0.51894409071276404</v>
      </c>
      <c r="M43" s="9">
        <f t="shared" si="7"/>
        <v>0.4778055370637424</v>
      </c>
      <c r="N43" s="9">
        <f t="shared" si="7"/>
        <v>0.50180656885096764</v>
      </c>
      <c r="O43" s="9">
        <f t="shared" si="7"/>
        <v>0.51436554070586649</v>
      </c>
      <c r="P43" s="9">
        <f t="shared" si="7"/>
        <v>0.51607426825100755</v>
      </c>
      <c r="Q43" s="9">
        <f t="shared" si="7"/>
        <v>0.50854496569215635</v>
      </c>
    </row>
    <row r="44" spans="1:17" ht="15" customHeight="1" x14ac:dyDescent="0.2">
      <c r="A44" s="8" t="s">
        <v>597</v>
      </c>
      <c r="B44" s="9">
        <f t="shared" ref="B44:Q44" si="8">IF(B13&lt;&gt;0,B38/B13-1,0)</f>
        <v>0.78532345100277912</v>
      </c>
      <c r="C44" s="9">
        <f t="shared" si="8"/>
        <v>0.37634909152985485</v>
      </c>
      <c r="D44" s="9">
        <f t="shared" si="8"/>
        <v>-2.6146311948115675E-2</v>
      </c>
      <c r="E44" s="9">
        <f t="shared" si="8"/>
        <v>0.10490935657105038</v>
      </c>
      <c r="F44" s="9">
        <f t="shared" si="8"/>
        <v>0.29930315603022528</v>
      </c>
      <c r="G44" s="9">
        <f t="shared" si="8"/>
        <v>0.65912373967426618</v>
      </c>
      <c r="H44" s="9">
        <f t="shared" si="8"/>
        <v>5.9602083180546384E-2</v>
      </c>
      <c r="I44" s="9">
        <f t="shared" si="8"/>
        <v>0.2520954556605608</v>
      </c>
      <c r="J44" s="9">
        <f t="shared" si="8"/>
        <v>0.22065928714710359</v>
      </c>
      <c r="K44" s="9">
        <f t="shared" si="8"/>
        <v>0.44397434899411148</v>
      </c>
      <c r="L44" s="9">
        <f t="shared" si="8"/>
        <v>0.62448755077478579</v>
      </c>
      <c r="M44" s="9">
        <f t="shared" si="8"/>
        <v>0.58190181609585467</v>
      </c>
      <c r="N44" s="9">
        <f t="shared" si="8"/>
        <v>0.6064506735531896</v>
      </c>
      <c r="O44" s="9">
        <f t="shared" si="8"/>
        <v>0.61780755237590701</v>
      </c>
      <c r="P44" s="9">
        <f t="shared" si="8"/>
        <v>0.61788474100156998</v>
      </c>
      <c r="Q44" s="9">
        <f t="shared" si="8"/>
        <v>0.60838077757076015</v>
      </c>
    </row>
    <row r="47" spans="1:17" ht="15" customHeight="1" x14ac:dyDescent="0.2">
      <c r="A47" s="3" t="s">
        <v>598</v>
      </c>
    </row>
    <row r="48" spans="1:17" ht="15" customHeight="1" x14ac:dyDescent="0.2">
      <c r="A48" s="8" t="s">
        <v>599</v>
      </c>
      <c r="J48" s="19">
        <f>J8/(Ops!J26+0.0025)-BS!J8</f>
        <v>3170815.384615384</v>
      </c>
      <c r="K48" s="19">
        <f>K8/(Ops!K26+0.0025)-BS!K8</f>
        <v>3574360.4651162792</v>
      </c>
      <c r="L48" s="19">
        <f>L8/(Ops!L26+0.0025)-BS!L8</f>
        <v>3980916.666666666</v>
      </c>
    </row>
    <row r="49" spans="1:12" ht="15" customHeight="1" x14ac:dyDescent="0.2">
      <c r="A49" s="8" t="s">
        <v>600</v>
      </c>
      <c r="J49" s="19">
        <f>J8/(Ops!J26-0.0025)-BS!J8</f>
        <v>5033690.9090909082</v>
      </c>
      <c r="K49" s="19">
        <f>K8/(Ops!K26-0.0025)-BS!K8</f>
        <v>5464557.8231292516</v>
      </c>
      <c r="L49" s="19">
        <f>L8/(Ops!L26-0.0025)-BS!L8</f>
        <v>5851709.6774193533</v>
      </c>
    </row>
    <row r="52" spans="1:12" ht="15" customHeight="1" x14ac:dyDescent="0.2">
      <c r="A52" s="3" t="s">
        <v>601</v>
      </c>
    </row>
    <row r="53" spans="1:12" ht="15" customHeight="1" x14ac:dyDescent="0.2">
      <c r="A53" s="8" t="s">
        <v>602</v>
      </c>
      <c r="B53" s="29">
        <v>5.3800000000000001E-2</v>
      </c>
      <c r="C53" s="29">
        <v>5.3800000000000001E-2</v>
      </c>
      <c r="D53" s="29">
        <v>5.2900000000000003E-2</v>
      </c>
      <c r="E53" s="29">
        <v>5.28E-2</v>
      </c>
      <c r="F53" s="29">
        <v>5.2699999999999997E-2</v>
      </c>
      <c r="G53" s="29">
        <v>5.2699999999999997E-2</v>
      </c>
      <c r="H53" s="29">
        <v>4.8000000000000001E-2</v>
      </c>
      <c r="I53" s="29">
        <v>4.8000000000000001E-2</v>
      </c>
      <c r="J53" s="29">
        <v>4.8000000000000001E-2</v>
      </c>
      <c r="K53" s="29">
        <v>4.9000000000000002E-2</v>
      </c>
      <c r="L53" s="29">
        <v>0.05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7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603</v>
      </c>
    </row>
    <row r="3" spans="1:17" ht="15" customHeight="1" x14ac:dyDescent="0.2">
      <c r="A3" s="4" t="s">
        <v>153</v>
      </c>
    </row>
    <row r="5" spans="1:17" ht="15" customHeight="1" x14ac:dyDescent="0.2">
      <c r="B5" s="21" t="s">
        <v>250</v>
      </c>
      <c r="C5" s="21" t="s">
        <v>251</v>
      </c>
      <c r="D5" s="21" t="s">
        <v>252</v>
      </c>
      <c r="E5" s="21" t="s">
        <v>253</v>
      </c>
      <c r="F5" s="21" t="s">
        <v>254</v>
      </c>
      <c r="G5" s="21" t="s">
        <v>255</v>
      </c>
      <c r="H5" s="21" t="s">
        <v>256</v>
      </c>
      <c r="I5" s="21" t="s">
        <v>257</v>
      </c>
      <c r="J5" s="21" t="s">
        <v>258</v>
      </c>
      <c r="K5" s="21" t="s">
        <v>259</v>
      </c>
      <c r="L5" s="21" t="s">
        <v>260</v>
      </c>
      <c r="M5" s="21" t="s">
        <v>3</v>
      </c>
      <c r="N5" s="21" t="s">
        <v>4</v>
      </c>
      <c r="O5" s="21" t="s">
        <v>5</v>
      </c>
      <c r="P5" s="21" t="s">
        <v>6</v>
      </c>
      <c r="Q5" s="21" t="s">
        <v>7</v>
      </c>
    </row>
    <row r="7" spans="1:17" ht="15" customHeight="1" x14ac:dyDescent="0.2">
      <c r="A7" s="3" t="s">
        <v>604</v>
      </c>
    </row>
    <row r="8" spans="1:17" ht="15" customHeight="1" x14ac:dyDescent="0.2">
      <c r="A8" s="8" t="s">
        <v>605</v>
      </c>
      <c r="B8" s="13">
        <v>16052</v>
      </c>
      <c r="C8" s="13">
        <v>25000</v>
      </c>
      <c r="D8" s="13">
        <v>50000</v>
      </c>
      <c r="E8" s="13">
        <v>35000</v>
      </c>
      <c r="F8" s="13">
        <v>30000</v>
      </c>
      <c r="G8" s="13">
        <v>28000</v>
      </c>
      <c r="H8" s="13">
        <v>32000</v>
      </c>
      <c r="I8" s="13">
        <v>35000</v>
      </c>
      <c r="J8" s="13">
        <v>33000</v>
      </c>
      <c r="K8" s="13">
        <v>35000</v>
      </c>
      <c r="L8" s="13">
        <v>38000</v>
      </c>
      <c r="M8" s="19">
        <f>Assumptions!B52</f>
        <v>41824.533333333326</v>
      </c>
      <c r="N8" s="19">
        <f>Assumptions!C52</f>
        <v>44261.666666666664</v>
      </c>
      <c r="O8" s="19">
        <f>Assumptions!D52</f>
        <v>46393.244444444434</v>
      </c>
      <c r="P8" s="19">
        <f>Assumptions!E52</f>
        <v>48552.599999999984</v>
      </c>
      <c r="Q8" s="19">
        <f>Assumptions!F52</f>
        <v>50739.733333333308</v>
      </c>
    </row>
    <row r="9" spans="1:17" ht="15" customHeight="1" x14ac:dyDescent="0.2">
      <c r="A9" s="8" t="s">
        <v>606</v>
      </c>
      <c r="B9" s="13">
        <v>18600</v>
      </c>
      <c r="C9" s="13">
        <v>20000</v>
      </c>
      <c r="D9" s="13">
        <v>40000</v>
      </c>
      <c r="E9" s="13">
        <v>25000</v>
      </c>
      <c r="F9" s="13">
        <v>25000</v>
      </c>
      <c r="G9" s="13">
        <v>22000</v>
      </c>
      <c r="H9" s="13">
        <v>28000</v>
      </c>
      <c r="I9" s="13">
        <v>30000</v>
      </c>
      <c r="J9" s="13">
        <v>28000</v>
      </c>
      <c r="K9" s="13">
        <v>30000</v>
      </c>
      <c r="L9" s="13">
        <v>33000</v>
      </c>
      <c r="M9" s="37">
        <f t="shared" ref="M9:Q10" si="0">L9*1.04</f>
        <v>34320</v>
      </c>
      <c r="N9" s="37">
        <f t="shared" si="0"/>
        <v>35692.800000000003</v>
      </c>
      <c r="O9" s="37">
        <f t="shared" si="0"/>
        <v>37120.512000000002</v>
      </c>
      <c r="P9" s="37">
        <f t="shared" si="0"/>
        <v>38605.332480000005</v>
      </c>
      <c r="Q9" s="37">
        <f t="shared" si="0"/>
        <v>40149.545779200009</v>
      </c>
    </row>
    <row r="10" spans="1:17" ht="15" customHeight="1" x14ac:dyDescent="0.2">
      <c r="A10" s="8" t="s">
        <v>607</v>
      </c>
      <c r="B10" s="13">
        <v>17700</v>
      </c>
      <c r="C10" s="13">
        <v>18000</v>
      </c>
      <c r="D10" s="13">
        <v>38000</v>
      </c>
      <c r="E10" s="13">
        <v>22000</v>
      </c>
      <c r="F10" s="13">
        <v>22000</v>
      </c>
      <c r="G10" s="13">
        <v>20000</v>
      </c>
      <c r="H10" s="13">
        <v>24000</v>
      </c>
      <c r="I10" s="13">
        <v>25000</v>
      </c>
      <c r="J10" s="13">
        <v>23000</v>
      </c>
      <c r="K10" s="13">
        <v>24000</v>
      </c>
      <c r="L10" s="13">
        <v>24000</v>
      </c>
      <c r="M10" s="37">
        <f t="shared" si="0"/>
        <v>24960</v>
      </c>
      <c r="N10" s="37">
        <f t="shared" si="0"/>
        <v>25958.400000000001</v>
      </c>
      <c r="O10" s="37">
        <f t="shared" si="0"/>
        <v>26996.736000000001</v>
      </c>
      <c r="P10" s="37">
        <f t="shared" si="0"/>
        <v>28076.605440000003</v>
      </c>
      <c r="Q10" s="37">
        <f t="shared" si="0"/>
        <v>29199.669657600003</v>
      </c>
    </row>
    <row r="11" spans="1:17" ht="15" customHeight="1" x14ac:dyDescent="0.2">
      <c r="A11" s="8" t="s">
        <v>608</v>
      </c>
      <c r="B11" s="13">
        <v>7100</v>
      </c>
      <c r="C11" s="13">
        <v>8000</v>
      </c>
      <c r="D11" s="13">
        <v>15000</v>
      </c>
      <c r="E11" s="13">
        <v>10000</v>
      </c>
      <c r="F11" s="13">
        <v>10000</v>
      </c>
      <c r="G11" s="13">
        <v>9000</v>
      </c>
      <c r="H11" s="13">
        <v>10000</v>
      </c>
      <c r="I11" s="13">
        <v>10000</v>
      </c>
      <c r="J11" s="13">
        <v>10000</v>
      </c>
      <c r="K11" s="13">
        <v>10000</v>
      </c>
      <c r="L11" s="13">
        <v>10000</v>
      </c>
      <c r="M11" s="37">
        <f t="shared" ref="M11:Q15" si="1">L11*1.03</f>
        <v>10300</v>
      </c>
      <c r="N11" s="37">
        <f t="shared" si="1"/>
        <v>10609</v>
      </c>
      <c r="O11" s="37">
        <f t="shared" si="1"/>
        <v>10927.27</v>
      </c>
      <c r="P11" s="37">
        <f t="shared" si="1"/>
        <v>11255.088100000001</v>
      </c>
      <c r="Q11" s="37">
        <f t="shared" si="1"/>
        <v>11592.740743</v>
      </c>
    </row>
    <row r="12" spans="1:17" ht="15" customHeight="1" x14ac:dyDescent="0.2">
      <c r="A12" s="8" t="s">
        <v>609</v>
      </c>
      <c r="B12" s="13">
        <v>5300</v>
      </c>
      <c r="C12" s="13">
        <v>6000</v>
      </c>
      <c r="D12" s="13">
        <v>12000</v>
      </c>
      <c r="E12" s="13">
        <v>8000</v>
      </c>
      <c r="F12" s="13">
        <v>8000</v>
      </c>
      <c r="G12" s="13">
        <v>7000</v>
      </c>
      <c r="H12" s="13">
        <v>8000</v>
      </c>
      <c r="I12" s="13">
        <v>8000</v>
      </c>
      <c r="J12" s="13">
        <v>8000</v>
      </c>
      <c r="K12" s="13">
        <v>8000</v>
      </c>
      <c r="L12" s="13">
        <v>8000</v>
      </c>
      <c r="M12" s="37">
        <f t="shared" si="1"/>
        <v>8240</v>
      </c>
      <c r="N12" s="37">
        <f t="shared" si="1"/>
        <v>8487.2000000000007</v>
      </c>
      <c r="O12" s="37">
        <f t="shared" si="1"/>
        <v>8741.8160000000007</v>
      </c>
      <c r="P12" s="37">
        <f t="shared" si="1"/>
        <v>9004.0704800000003</v>
      </c>
      <c r="Q12" s="37">
        <f t="shared" si="1"/>
        <v>9274.1925944000013</v>
      </c>
    </row>
    <row r="13" spans="1:17" ht="15" customHeight="1" x14ac:dyDescent="0.2">
      <c r="A13" s="8" t="s">
        <v>610</v>
      </c>
      <c r="B13" s="13">
        <v>2700</v>
      </c>
      <c r="C13" s="13">
        <v>3000</v>
      </c>
      <c r="D13" s="13">
        <v>6000</v>
      </c>
      <c r="E13" s="13">
        <v>4000</v>
      </c>
      <c r="F13" s="13">
        <v>4000</v>
      </c>
      <c r="G13" s="13">
        <v>3600</v>
      </c>
      <c r="H13" s="13">
        <v>4000</v>
      </c>
      <c r="I13" s="13">
        <v>4000</v>
      </c>
      <c r="J13" s="13">
        <v>3500</v>
      </c>
      <c r="K13" s="13">
        <v>4000</v>
      </c>
      <c r="L13" s="13">
        <v>4200</v>
      </c>
      <c r="M13" s="37">
        <f t="shared" si="1"/>
        <v>4326</v>
      </c>
      <c r="N13" s="37">
        <f t="shared" si="1"/>
        <v>4455.78</v>
      </c>
      <c r="O13" s="37">
        <f t="shared" si="1"/>
        <v>4589.4533999999994</v>
      </c>
      <c r="P13" s="37">
        <f t="shared" si="1"/>
        <v>4727.1370019999995</v>
      </c>
      <c r="Q13" s="37">
        <f t="shared" si="1"/>
        <v>4868.95111206</v>
      </c>
    </row>
    <row r="14" spans="1:17" ht="15" customHeight="1" x14ac:dyDescent="0.2">
      <c r="A14" s="8" t="s">
        <v>611</v>
      </c>
      <c r="B14" s="13">
        <v>1800</v>
      </c>
      <c r="C14" s="13">
        <v>2000</v>
      </c>
      <c r="D14" s="13">
        <v>4000</v>
      </c>
      <c r="E14" s="13">
        <v>3000</v>
      </c>
      <c r="F14" s="13">
        <v>3000</v>
      </c>
      <c r="G14" s="13">
        <v>2500</v>
      </c>
      <c r="H14" s="13">
        <v>3000</v>
      </c>
      <c r="I14" s="13">
        <v>3000</v>
      </c>
      <c r="J14" s="13">
        <v>2800</v>
      </c>
      <c r="K14" s="13">
        <v>3000</v>
      </c>
      <c r="L14" s="13">
        <v>3200</v>
      </c>
      <c r="M14" s="37">
        <f t="shared" si="1"/>
        <v>3296</v>
      </c>
      <c r="N14" s="37">
        <f t="shared" si="1"/>
        <v>3394.88</v>
      </c>
      <c r="O14" s="37">
        <f t="shared" si="1"/>
        <v>3496.7264</v>
      </c>
      <c r="P14" s="37">
        <f t="shared" si="1"/>
        <v>3601.6281920000001</v>
      </c>
      <c r="Q14" s="37">
        <f t="shared" si="1"/>
        <v>3709.6770377600001</v>
      </c>
    </row>
    <row r="15" spans="1:17" ht="15" customHeight="1" x14ac:dyDescent="0.2">
      <c r="A15" s="8" t="s">
        <v>612</v>
      </c>
      <c r="B15" s="13">
        <v>8000</v>
      </c>
      <c r="C15" s="13">
        <v>9000</v>
      </c>
      <c r="D15" s="13">
        <v>18000</v>
      </c>
      <c r="E15" s="13">
        <v>6000</v>
      </c>
      <c r="F15" s="13">
        <v>6000</v>
      </c>
      <c r="G15" s="13">
        <v>5000</v>
      </c>
      <c r="H15" s="13">
        <v>5000</v>
      </c>
      <c r="I15" s="13">
        <v>5000</v>
      </c>
      <c r="J15" s="13">
        <v>5000</v>
      </c>
      <c r="K15" s="13">
        <v>5000</v>
      </c>
      <c r="L15" s="13">
        <v>5500</v>
      </c>
      <c r="M15" s="37">
        <f t="shared" si="1"/>
        <v>5665</v>
      </c>
      <c r="N15" s="37">
        <f t="shared" si="1"/>
        <v>5834.95</v>
      </c>
      <c r="O15" s="37">
        <f t="shared" si="1"/>
        <v>6009.9984999999997</v>
      </c>
      <c r="P15" s="37">
        <f t="shared" si="1"/>
        <v>6190.2984550000001</v>
      </c>
      <c r="Q15" s="37">
        <f t="shared" si="1"/>
        <v>6376.0074086499999</v>
      </c>
    </row>
    <row r="16" spans="1:17" ht="15" customHeight="1" x14ac:dyDescent="0.2">
      <c r="A16" s="3" t="s">
        <v>613</v>
      </c>
      <c r="B16" s="14">
        <f t="shared" ref="B16:Q16" si="2">SUM(B8:B15)</f>
        <v>77252</v>
      </c>
      <c r="C16" s="14">
        <f t="shared" si="2"/>
        <v>91000</v>
      </c>
      <c r="D16" s="14">
        <f t="shared" si="2"/>
        <v>183000</v>
      </c>
      <c r="E16" s="14">
        <f t="shared" si="2"/>
        <v>113000</v>
      </c>
      <c r="F16" s="14">
        <f t="shared" si="2"/>
        <v>108000</v>
      </c>
      <c r="G16" s="14">
        <f t="shared" si="2"/>
        <v>97100</v>
      </c>
      <c r="H16" s="14">
        <f t="shared" si="2"/>
        <v>114000</v>
      </c>
      <c r="I16" s="14">
        <f t="shared" si="2"/>
        <v>120000</v>
      </c>
      <c r="J16" s="14">
        <f t="shared" si="2"/>
        <v>113300</v>
      </c>
      <c r="K16" s="14">
        <f t="shared" si="2"/>
        <v>119000</v>
      </c>
      <c r="L16" s="14">
        <f t="shared" si="2"/>
        <v>125900</v>
      </c>
      <c r="M16" s="37">
        <f t="shared" si="2"/>
        <v>132931.53333333333</v>
      </c>
      <c r="N16" s="37">
        <f t="shared" si="2"/>
        <v>138694.67666666667</v>
      </c>
      <c r="O16" s="37">
        <f t="shared" si="2"/>
        <v>144275.75674444446</v>
      </c>
      <c r="P16" s="37">
        <f t="shared" si="2"/>
        <v>150012.76014900001</v>
      </c>
      <c r="Q16" s="37">
        <f t="shared" si="2"/>
        <v>155910.51766600332</v>
      </c>
    </row>
    <row r="17" spans="1:17" ht="15" customHeight="1" x14ac:dyDescent="0.2">
      <c r="M17" s="19">
        <f>Assumptions!B72</f>
        <v>155099.31111111108</v>
      </c>
      <c r="N17" s="19">
        <f>Assumptions!C72</f>
        <v>162528.84</v>
      </c>
      <c r="O17" s="19">
        <f>Assumptions!D72</f>
        <v>168800.03555555551</v>
      </c>
      <c r="P17" s="19">
        <f>Assumptions!E72</f>
        <v>175149.00888888881</v>
      </c>
      <c r="Q17" s="19">
        <f>Assumptions!F72</f>
        <v>181575.75999999989</v>
      </c>
    </row>
    <row r="18" spans="1:17" ht="15" customHeight="1" x14ac:dyDescent="0.2">
      <c r="A18" s="3" t="s">
        <v>614</v>
      </c>
    </row>
    <row r="19" spans="1:17" ht="15" customHeight="1" x14ac:dyDescent="0.2">
      <c r="A19" s="8" t="s">
        <v>615</v>
      </c>
      <c r="B19" s="13">
        <v>88660</v>
      </c>
      <c r="C19" s="13">
        <v>97744</v>
      </c>
      <c r="D19" s="13">
        <v>190203</v>
      </c>
      <c r="E19" s="13">
        <v>117914</v>
      </c>
      <c r="F19" s="13">
        <v>117645</v>
      </c>
      <c r="G19" s="13">
        <v>108653</v>
      </c>
      <c r="H19" s="13">
        <v>121492</v>
      </c>
      <c r="I19" s="13">
        <v>123885</v>
      </c>
      <c r="J19" s="13">
        <v>119012</v>
      </c>
      <c r="K19" s="13">
        <v>124395</v>
      </c>
      <c r="L19" s="13">
        <v>131089</v>
      </c>
      <c r="M19" s="17">
        <f>CFS!M35*-1</f>
        <v>155099.31111111108</v>
      </c>
      <c r="N19" s="17">
        <f>CFS!N35*-1</f>
        <v>162528.84</v>
      </c>
      <c r="O19" s="17">
        <f>CFS!O35*-1</f>
        <v>168800.03555555551</v>
      </c>
      <c r="P19" s="17">
        <f>CFS!P35*-1</f>
        <v>175149.00888888881</v>
      </c>
      <c r="Q19" s="17">
        <f>CFS!Q35*-1</f>
        <v>181575.75999999989</v>
      </c>
    </row>
    <row r="21" spans="1:17" ht="15" customHeight="1" x14ac:dyDescent="0.2">
      <c r="A21" s="3" t="s">
        <v>616</v>
      </c>
    </row>
    <row r="22" spans="1:17" ht="15" customHeight="1" x14ac:dyDescent="0.2">
      <c r="A22" s="8" t="s">
        <v>617</v>
      </c>
      <c r="B22" s="13">
        <v>17056</v>
      </c>
      <c r="C22" s="13">
        <v>17534</v>
      </c>
      <c r="D22" s="13">
        <v>21737</v>
      </c>
      <c r="E22" s="13">
        <v>23112</v>
      </c>
      <c r="F22" s="13">
        <v>24060</v>
      </c>
      <c r="G22" s="13">
        <v>19862</v>
      </c>
      <c r="H22" s="13">
        <v>32287</v>
      </c>
      <c r="I22" s="13">
        <v>31263</v>
      </c>
      <c r="J22" s="13">
        <v>32255</v>
      </c>
      <c r="K22" s="13">
        <v>33575</v>
      </c>
      <c r="L22" s="13">
        <v>35000</v>
      </c>
      <c r="M22" s="17">
        <f>FFO_AFFO!M24*-1</f>
        <v>36596.466666666667</v>
      </c>
      <c r="N22" s="17">
        <f>FFO_AFFO!N24*-1</f>
        <v>37179.799999999996</v>
      </c>
      <c r="O22" s="17">
        <f>FFO_AFFO!O24*-1</f>
        <v>39255.82222222221</v>
      </c>
      <c r="P22" s="17">
        <f>FFO_AFFO!P24*-1</f>
        <v>39561.377777777758</v>
      </c>
      <c r="Q22" s="17">
        <f>FFO_AFFO!Q24*-1</f>
        <v>41679.066666666651</v>
      </c>
    </row>
    <row r="23" spans="1:17" ht="15" customHeight="1" x14ac:dyDescent="0.2">
      <c r="A23" s="8" t="s">
        <v>618</v>
      </c>
      <c r="B23" s="14">
        <f t="shared" ref="B23:L23" si="3">B20-B22</f>
        <v>-17056</v>
      </c>
      <c r="C23" s="14">
        <f t="shared" si="3"/>
        <v>-17534</v>
      </c>
      <c r="D23" s="14">
        <f t="shared" si="3"/>
        <v>-21737</v>
      </c>
      <c r="E23" s="14">
        <f t="shared" si="3"/>
        <v>-23112</v>
      </c>
      <c r="F23" s="14">
        <f t="shared" si="3"/>
        <v>-24060</v>
      </c>
      <c r="G23" s="14">
        <f t="shared" si="3"/>
        <v>-19862</v>
      </c>
      <c r="H23" s="14">
        <f t="shared" si="3"/>
        <v>-32287</v>
      </c>
      <c r="I23" s="14">
        <f t="shared" si="3"/>
        <v>-31263</v>
      </c>
      <c r="J23" s="14">
        <f t="shared" si="3"/>
        <v>-32255</v>
      </c>
      <c r="K23" s="14">
        <f t="shared" si="3"/>
        <v>-33575</v>
      </c>
      <c r="L23" s="14">
        <f t="shared" si="3"/>
        <v>-35000</v>
      </c>
      <c r="M23" s="37">
        <f>M19-M22</f>
        <v>118502.8444444444</v>
      </c>
      <c r="N23" s="37">
        <f>N19-N22</f>
        <v>125349.04000000001</v>
      </c>
      <c r="O23" s="37">
        <f>O19-O22</f>
        <v>129544.2133333333</v>
      </c>
      <c r="P23" s="37">
        <f>P19-P22</f>
        <v>135587.63111111106</v>
      </c>
      <c r="Q23" s="37">
        <f>Q19-Q22</f>
        <v>139896.69333333324</v>
      </c>
    </row>
    <row r="24" spans="1:17" ht="15" customHeight="1" x14ac:dyDescent="0.2">
      <c r="A24" s="8" t="s">
        <v>619</v>
      </c>
      <c r="B24" s="19">
        <f>IF(Ops!B29&lt;&gt;0,B22*1000/Ops!B29,0)</f>
        <v>517.67991015873974</v>
      </c>
      <c r="C24" s="19">
        <f>IF(Ops!C29&lt;&gt;0,C22*1000/Ops!C29,0)</f>
        <v>519.17211974062116</v>
      </c>
      <c r="D24" s="19">
        <f>IF(Ops!D29&lt;&gt;0,D22*1000/Ops!D29,0)</f>
        <v>654.98538584385449</v>
      </c>
      <c r="E24" s="19">
        <f>IF(Ops!E29&lt;&gt;0,E22*1000/Ops!E29,0)</f>
        <v>701.04343605920894</v>
      </c>
      <c r="F24" s="19">
        <f>IF(Ops!F29&lt;&gt;0,F22*1000/Ops!F29,0)</f>
        <v>723.32621832065661</v>
      </c>
      <c r="G24" s="19">
        <f>IF(Ops!G29&lt;&gt;0,G22*1000/Ops!G29,0)</f>
        <v>594.74188525571924</v>
      </c>
      <c r="H24" s="19">
        <f>IF(Ops!H29&lt;&gt;0,H22*1000/Ops!H29,0)</f>
        <v>978.39393939393938</v>
      </c>
      <c r="I24" s="19">
        <f>IF(Ops!I29&lt;&gt;0,I22*1000/Ops!I29,0)</f>
        <v>924.66725820763088</v>
      </c>
      <c r="J24" s="19">
        <f>IF(Ops!J29&lt;&gt;0,J22*1000/Ops!J29,0)</f>
        <v>947.86799494548768</v>
      </c>
      <c r="K24" s="19">
        <f>IF(Ops!K29&lt;&gt;0,K22*1000/Ops!K29,0)</f>
        <v>975.87559947682018</v>
      </c>
      <c r="L24" s="19">
        <f>IF(Ops!L29&lt;&gt;0,L22*1000/Ops!L29,0)</f>
        <v>1012.2628412771865</v>
      </c>
      <c r="M24" s="19">
        <f>IF(Ops!M29&lt;&gt;0,M22*1000/Ops!M29,0)</f>
        <v>1050</v>
      </c>
      <c r="N24" s="19">
        <f>IF(Ops!N29&lt;&gt;0,N22*1000/Ops!N29,0)</f>
        <v>1050</v>
      </c>
      <c r="O24" s="19">
        <f>IF(Ops!O29&lt;&gt;0,O22*1000/Ops!O29,0)</f>
        <v>1100</v>
      </c>
      <c r="P24" s="19">
        <f>IF(Ops!P29&lt;&gt;0,P22*1000/Ops!P29,0)</f>
        <v>1100</v>
      </c>
      <c r="Q24" s="19">
        <f>IF(Ops!Q29&lt;&gt;0,Q22*1000/Ops!Q29,0)</f>
        <v>1150</v>
      </c>
    </row>
    <row r="25" spans="1:17" ht="15" customHeight="1" x14ac:dyDescent="0.2">
      <c r="A25" s="8" t="s">
        <v>450</v>
      </c>
      <c r="B25" s="19">
        <f>IF(Ops!B29&lt;&gt;0,B20*1000/Ops!B29,0)</f>
        <v>0</v>
      </c>
      <c r="C25" s="19">
        <f>IF(Ops!C29&lt;&gt;0,C20*1000/Ops!C29,0)</f>
        <v>0</v>
      </c>
      <c r="D25" s="19">
        <f>IF(Ops!D29&lt;&gt;0,D20*1000/Ops!D29,0)</f>
        <v>0</v>
      </c>
      <c r="E25" s="19">
        <f>IF(Ops!E29&lt;&gt;0,E20*1000/Ops!E29,0)</f>
        <v>0</v>
      </c>
      <c r="F25" s="19">
        <f>IF(Ops!F29&lt;&gt;0,F20*1000/Ops!F29,0)</f>
        <v>0</v>
      </c>
      <c r="G25" s="19">
        <f>IF(Ops!G29&lt;&gt;0,G20*1000/Ops!G29,0)</f>
        <v>0</v>
      </c>
      <c r="H25" s="19">
        <f>IF(Ops!H29&lt;&gt;0,H20*1000/Ops!H29,0)</f>
        <v>0</v>
      </c>
      <c r="I25" s="19">
        <f>IF(Ops!I29&lt;&gt;0,I20*1000/Ops!I29,0)</f>
        <v>0</v>
      </c>
      <c r="J25" s="19">
        <f>IF(Ops!J29&lt;&gt;0,J20*1000/Ops!J29,0)</f>
        <v>0</v>
      </c>
      <c r="K25" s="19">
        <f>IF(Ops!K29&lt;&gt;0,K20*1000/Ops!K29,0)</f>
        <v>0</v>
      </c>
      <c r="L25" s="19">
        <f>IF(Ops!L29&lt;&gt;0,L20*1000/Ops!L29,0)</f>
        <v>0</v>
      </c>
      <c r="M25" s="19">
        <f>IF(Ops!M29&lt;&gt;0,M20*1000/Ops!M29,0)</f>
        <v>0</v>
      </c>
      <c r="N25" s="19">
        <f>IF(Ops!N29&lt;&gt;0,N20*1000/Ops!N29,0)</f>
        <v>0</v>
      </c>
      <c r="O25" s="19">
        <f>IF(Ops!O29&lt;&gt;0,O20*1000/Ops!O29,0)</f>
        <v>0</v>
      </c>
      <c r="P25" s="19">
        <f>IF(Ops!P29&lt;&gt;0,P20*1000/Ops!P29,0)</f>
        <v>0</v>
      </c>
      <c r="Q25" s="19">
        <f>IF(Ops!Q29&lt;&gt;0,Q20*1000/Ops!Q29,0)</f>
        <v>0</v>
      </c>
    </row>
    <row r="27" spans="1:17" ht="15" customHeight="1" x14ac:dyDescent="0.2">
      <c r="A27" s="8" t="s">
        <v>83</v>
      </c>
      <c r="B27" s="13">
        <v>10650</v>
      </c>
      <c r="C27" s="13">
        <v>6167</v>
      </c>
      <c r="D27" s="13">
        <v>17888</v>
      </c>
      <c r="E27" s="13">
        <v>18884</v>
      </c>
      <c r="F27" s="13">
        <v>30091</v>
      </c>
      <c r="G27" s="13">
        <v>32906</v>
      </c>
      <c r="H27" s="13">
        <v>10511</v>
      </c>
      <c r="I27" s="13">
        <v>17747</v>
      </c>
      <c r="J27" s="13">
        <v>23325</v>
      </c>
      <c r="K27" s="13">
        <v>53719</v>
      </c>
      <c r="L27" s="13">
        <v>41065</v>
      </c>
      <c r="M27" s="17">
        <f>CFS!M34*-1</f>
        <v>30000</v>
      </c>
      <c r="N27" s="17">
        <f>CFS!N34*-1</f>
        <v>20000</v>
      </c>
      <c r="O27" s="17">
        <f>CFS!O34*-1</f>
        <v>15000</v>
      </c>
      <c r="P27" s="17">
        <f>CFS!P34*-1</f>
        <v>10000</v>
      </c>
      <c r="Q27" s="17">
        <f>CFS!Q34*-1</f>
        <v>5000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2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620</v>
      </c>
    </row>
    <row r="3" spans="1:17" ht="15" customHeight="1" x14ac:dyDescent="0.2">
      <c r="A3" s="4" t="s">
        <v>153</v>
      </c>
    </row>
    <row r="5" spans="1:17" ht="15" customHeight="1" x14ac:dyDescent="0.2">
      <c r="B5" s="21" t="s">
        <v>250</v>
      </c>
      <c r="C5" s="21" t="s">
        <v>251</v>
      </c>
      <c r="D5" s="21" t="s">
        <v>252</v>
      </c>
      <c r="E5" s="21" t="s">
        <v>253</v>
      </c>
      <c r="F5" s="21" t="s">
        <v>254</v>
      </c>
      <c r="G5" s="21" t="s">
        <v>255</v>
      </c>
      <c r="H5" s="21" t="s">
        <v>256</v>
      </c>
      <c r="I5" s="21" t="s">
        <v>257</v>
      </c>
      <c r="J5" s="21" t="s">
        <v>258</v>
      </c>
      <c r="K5" s="21" t="s">
        <v>259</v>
      </c>
      <c r="L5" s="21" t="s">
        <v>260</v>
      </c>
      <c r="M5" s="21" t="s">
        <v>3</v>
      </c>
      <c r="N5" s="21" t="s">
        <v>4</v>
      </c>
      <c r="O5" s="21" t="s">
        <v>5</v>
      </c>
      <c r="P5" s="21" t="s">
        <v>6</v>
      </c>
      <c r="Q5" s="21" t="s">
        <v>7</v>
      </c>
    </row>
    <row r="7" spans="1:17" ht="15" customHeight="1" x14ac:dyDescent="0.2">
      <c r="A7" s="3" t="s">
        <v>621</v>
      </c>
    </row>
    <row r="8" spans="1:17" ht="15" customHeight="1" x14ac:dyDescent="0.2">
      <c r="A8" s="8" t="s">
        <v>622</v>
      </c>
      <c r="B8" s="13">
        <v>130170</v>
      </c>
      <c r="C8" s="13">
        <v>0</v>
      </c>
      <c r="D8" s="13">
        <v>5000</v>
      </c>
      <c r="E8" s="13">
        <v>0</v>
      </c>
      <c r="F8" s="13">
        <v>0</v>
      </c>
      <c r="G8" s="13">
        <v>0</v>
      </c>
      <c r="H8" s="13">
        <v>8000</v>
      </c>
      <c r="I8" s="13">
        <v>0</v>
      </c>
      <c r="J8" s="13">
        <v>0</v>
      </c>
      <c r="K8" s="13">
        <v>45000</v>
      </c>
      <c r="L8" s="13">
        <v>35000</v>
      </c>
    </row>
    <row r="9" spans="1:17" ht="15" customHeight="1" x14ac:dyDescent="0.2">
      <c r="A9" s="8" t="s">
        <v>623</v>
      </c>
      <c r="B9" s="13">
        <v>-6855</v>
      </c>
      <c r="C9" s="13">
        <v>0</v>
      </c>
      <c r="D9" s="13">
        <v>-1678</v>
      </c>
      <c r="E9" s="13">
        <v>-27</v>
      </c>
      <c r="F9" s="13">
        <v>-714</v>
      </c>
      <c r="G9" s="13">
        <v>-1136</v>
      </c>
      <c r="H9" s="13">
        <v>-1953</v>
      </c>
      <c r="I9" s="13">
        <v>0</v>
      </c>
      <c r="J9" s="13">
        <v>0</v>
      </c>
      <c r="K9" s="13">
        <v>-2410</v>
      </c>
      <c r="L9" s="13">
        <v>-1500</v>
      </c>
    </row>
    <row r="12" spans="1:17" ht="15" customHeight="1" x14ac:dyDescent="0.2">
      <c r="A12" s="3" t="s">
        <v>624</v>
      </c>
    </row>
    <row r="13" spans="1:17" ht="15" customHeight="1" x14ac:dyDescent="0.2">
      <c r="A13" s="8" t="s">
        <v>625</v>
      </c>
      <c r="B13" s="13">
        <v>3290</v>
      </c>
      <c r="C13" s="13">
        <v>70000</v>
      </c>
      <c r="D13" s="13">
        <v>5000</v>
      </c>
      <c r="E13" s="13">
        <v>15000</v>
      </c>
      <c r="F13" s="13">
        <v>30000</v>
      </c>
      <c r="G13" s="13">
        <v>50000</v>
      </c>
      <c r="H13" s="13">
        <v>5000</v>
      </c>
      <c r="I13" s="13">
        <v>30000</v>
      </c>
      <c r="J13" s="13">
        <v>10000</v>
      </c>
      <c r="K13" s="13">
        <v>40000</v>
      </c>
      <c r="L13" s="13">
        <v>10000</v>
      </c>
    </row>
    <row r="16" spans="1:17" ht="15" customHeight="1" x14ac:dyDescent="0.2">
      <c r="A16" s="3" t="s">
        <v>626</v>
      </c>
    </row>
    <row r="17" spans="1:12" ht="15" customHeight="1" x14ac:dyDescent="0.2">
      <c r="A17" s="8" t="s">
        <v>627</v>
      </c>
      <c r="B17" s="13">
        <v>741</v>
      </c>
      <c r="C17" s="13">
        <v>667</v>
      </c>
      <c r="D17" s="13">
        <v>0</v>
      </c>
      <c r="E17" s="13">
        <v>0</v>
      </c>
      <c r="F17" s="13">
        <v>0</v>
      </c>
      <c r="G17" s="13">
        <v>0</v>
      </c>
      <c r="H17" s="13">
        <v>438</v>
      </c>
      <c r="I17" s="13">
        <v>440</v>
      </c>
      <c r="J17" s="13">
        <v>0</v>
      </c>
      <c r="K17" s="13">
        <v>149</v>
      </c>
      <c r="L17" s="13">
        <v>898</v>
      </c>
    </row>
    <row r="18" spans="1:12" ht="15" customHeight="1" x14ac:dyDescent="0.2">
      <c r="A18" s="8" t="s">
        <v>628</v>
      </c>
      <c r="B18" s="13">
        <v>37115</v>
      </c>
      <c r="C18" s="13">
        <v>32646</v>
      </c>
      <c r="D18" s="13">
        <v>0</v>
      </c>
      <c r="E18" s="13">
        <v>0</v>
      </c>
      <c r="F18" s="13">
        <v>0</v>
      </c>
      <c r="G18" s="13">
        <v>0</v>
      </c>
      <c r="H18" s="13">
        <v>24049</v>
      </c>
      <c r="I18" s="13">
        <v>21671</v>
      </c>
      <c r="J18" s="13">
        <v>0</v>
      </c>
      <c r="K18" s="13">
        <v>10001</v>
      </c>
      <c r="L18" s="13">
        <v>58321</v>
      </c>
    </row>
    <row r="19" spans="1:12" ht="15" customHeight="1" x14ac:dyDescent="0.2">
      <c r="A19" s="8" t="s">
        <v>629</v>
      </c>
      <c r="B19" s="11">
        <f>IF(B17&lt;&gt;0,B18/B17,0)</f>
        <v>50.087719298245617</v>
      </c>
      <c r="C19" s="11">
        <f>IF(C17&lt;&gt;0,C18/C17,0)</f>
        <v>48.944527736131931</v>
      </c>
      <c r="H19" s="11">
        <f>IF(H17&lt;&gt;0,H18/H17,0)</f>
        <v>54.906392694063925</v>
      </c>
      <c r="I19" s="11">
        <f>IF(I17&lt;&gt;0,I18/I17,0)</f>
        <v>49.252272727272725</v>
      </c>
      <c r="K19" s="11">
        <f>IF(K17&lt;&gt;0,K18/K17,0)</f>
        <v>67.12080536912751</v>
      </c>
      <c r="L19" s="11">
        <f>IF(L17&lt;&gt;0,L18/L17,0)</f>
        <v>64.945434298440986</v>
      </c>
    </row>
    <row r="22" spans="1:12" ht="15" customHeight="1" x14ac:dyDescent="0.2">
      <c r="A22" s="3" t="s">
        <v>630</v>
      </c>
    </row>
    <row r="23" spans="1:12" ht="15" customHeight="1" x14ac:dyDescent="0.2">
      <c r="A23" s="8" t="s">
        <v>631</v>
      </c>
      <c r="B23" s="14">
        <f t="shared" ref="B23:L23" si="0">B8-B13</f>
        <v>126880</v>
      </c>
      <c r="C23" s="14">
        <f t="shared" si="0"/>
        <v>-70000</v>
      </c>
      <c r="D23" s="14">
        <f t="shared" si="0"/>
        <v>0</v>
      </c>
      <c r="E23" s="14">
        <f t="shared" si="0"/>
        <v>-15000</v>
      </c>
      <c r="F23" s="14">
        <f t="shared" si="0"/>
        <v>-30000</v>
      </c>
      <c r="G23" s="14">
        <f t="shared" si="0"/>
        <v>-50000</v>
      </c>
      <c r="H23" s="14">
        <f t="shared" si="0"/>
        <v>3000</v>
      </c>
      <c r="I23" s="14">
        <f t="shared" si="0"/>
        <v>-30000</v>
      </c>
      <c r="J23" s="14">
        <f t="shared" si="0"/>
        <v>-10000</v>
      </c>
      <c r="K23" s="14">
        <f t="shared" si="0"/>
        <v>5000</v>
      </c>
      <c r="L23" s="14">
        <f t="shared" si="0"/>
        <v>25000</v>
      </c>
    </row>
    <row r="24" spans="1:12" ht="15" customHeight="1" x14ac:dyDescent="0.2">
      <c r="A24" s="8" t="s">
        <v>632</v>
      </c>
      <c r="B24" s="14">
        <f t="shared" ref="B24:L24" si="1">B23-B18</f>
        <v>89765</v>
      </c>
      <c r="C24" s="14">
        <f t="shared" si="1"/>
        <v>-102646</v>
      </c>
      <c r="D24" s="14">
        <f t="shared" si="1"/>
        <v>0</v>
      </c>
      <c r="E24" s="14">
        <f t="shared" si="1"/>
        <v>-15000</v>
      </c>
      <c r="F24" s="14">
        <f t="shared" si="1"/>
        <v>-30000</v>
      </c>
      <c r="G24" s="14">
        <f t="shared" si="1"/>
        <v>-50000</v>
      </c>
      <c r="H24" s="14">
        <f t="shared" si="1"/>
        <v>-21049</v>
      </c>
      <c r="I24" s="14">
        <f t="shared" si="1"/>
        <v>-51671</v>
      </c>
      <c r="J24" s="14">
        <f t="shared" si="1"/>
        <v>-10000</v>
      </c>
      <c r="K24" s="14">
        <f t="shared" si="1"/>
        <v>-5001</v>
      </c>
      <c r="L24" s="14">
        <f t="shared" si="1"/>
        <v>-33321</v>
      </c>
    </row>
    <row r="26" spans="1:12" ht="15" customHeight="1" x14ac:dyDescent="0.2">
      <c r="A26" s="3" t="s">
        <v>633</v>
      </c>
    </row>
    <row r="27" spans="1:12" ht="15" customHeight="1" x14ac:dyDescent="0.2">
      <c r="A27" s="8" t="s">
        <v>634</v>
      </c>
      <c r="B27" s="14">
        <v>3290</v>
      </c>
      <c r="C27" s="14">
        <f t="shared" ref="C27:L27" si="2">B27+C13</f>
        <v>73290</v>
      </c>
      <c r="D27" s="14">
        <f t="shared" si="2"/>
        <v>78290</v>
      </c>
      <c r="E27" s="14">
        <f t="shared" si="2"/>
        <v>93290</v>
      </c>
      <c r="F27" s="14">
        <f t="shared" si="2"/>
        <v>123290</v>
      </c>
      <c r="G27" s="14">
        <f t="shared" si="2"/>
        <v>173290</v>
      </c>
      <c r="H27" s="14">
        <f t="shared" si="2"/>
        <v>178290</v>
      </c>
      <c r="I27" s="14">
        <f t="shared" si="2"/>
        <v>208290</v>
      </c>
      <c r="J27" s="14">
        <f t="shared" si="2"/>
        <v>218290</v>
      </c>
      <c r="K27" s="14">
        <f t="shared" si="2"/>
        <v>258290</v>
      </c>
      <c r="L27" s="14">
        <f t="shared" si="2"/>
        <v>268290</v>
      </c>
    </row>
    <row r="28" spans="1:12" ht="15" customHeight="1" x14ac:dyDescent="0.2">
      <c r="A28" s="8" t="s">
        <v>635</v>
      </c>
      <c r="B28" s="14">
        <v>130170</v>
      </c>
      <c r="C28" s="14">
        <f t="shared" ref="C28:L28" si="3">B28+C8</f>
        <v>130170</v>
      </c>
      <c r="D28" s="14">
        <f t="shared" si="3"/>
        <v>135170</v>
      </c>
      <c r="E28" s="14">
        <f t="shared" si="3"/>
        <v>135170</v>
      </c>
      <c r="F28" s="14">
        <f t="shared" si="3"/>
        <v>135170</v>
      </c>
      <c r="G28" s="14">
        <f t="shared" si="3"/>
        <v>135170</v>
      </c>
      <c r="H28" s="14">
        <f t="shared" si="3"/>
        <v>143170</v>
      </c>
      <c r="I28" s="14">
        <f t="shared" si="3"/>
        <v>143170</v>
      </c>
      <c r="J28" s="14">
        <f t="shared" si="3"/>
        <v>143170</v>
      </c>
      <c r="K28" s="14">
        <f t="shared" si="3"/>
        <v>188170</v>
      </c>
      <c r="L28" s="14">
        <f t="shared" si="3"/>
        <v>223170</v>
      </c>
    </row>
    <row r="29" spans="1:12" ht="15" customHeight="1" x14ac:dyDescent="0.2">
      <c r="A29" s="8" t="s">
        <v>636</v>
      </c>
      <c r="B29" s="14">
        <v>37115</v>
      </c>
      <c r="C29" s="14">
        <f t="shared" ref="C29:L29" si="4">B29+C18</f>
        <v>69761</v>
      </c>
      <c r="D29" s="14">
        <f t="shared" si="4"/>
        <v>69761</v>
      </c>
      <c r="E29" s="14">
        <f t="shared" si="4"/>
        <v>69761</v>
      </c>
      <c r="F29" s="14">
        <f t="shared" si="4"/>
        <v>69761</v>
      </c>
      <c r="G29" s="14">
        <f t="shared" si="4"/>
        <v>69761</v>
      </c>
      <c r="H29" s="14">
        <f t="shared" si="4"/>
        <v>93810</v>
      </c>
      <c r="I29" s="14">
        <f t="shared" si="4"/>
        <v>115481</v>
      </c>
      <c r="J29" s="14">
        <f t="shared" si="4"/>
        <v>115481</v>
      </c>
      <c r="K29" s="14">
        <f t="shared" si="4"/>
        <v>125482</v>
      </c>
      <c r="L29" s="14">
        <f t="shared" si="4"/>
        <v>183803</v>
      </c>
    </row>
    <row r="30" spans="1:12" ht="15" customHeight="1" x14ac:dyDescent="0.2">
      <c r="A30" s="8" t="s">
        <v>637</v>
      </c>
      <c r="B30" s="14">
        <f t="shared" ref="B30:L30" si="5">B28+B29</f>
        <v>167285</v>
      </c>
      <c r="C30" s="14">
        <f t="shared" si="5"/>
        <v>199931</v>
      </c>
      <c r="D30" s="14">
        <f t="shared" si="5"/>
        <v>204931</v>
      </c>
      <c r="E30" s="14">
        <f t="shared" si="5"/>
        <v>204931</v>
      </c>
      <c r="F30" s="14">
        <f t="shared" si="5"/>
        <v>204931</v>
      </c>
      <c r="G30" s="14">
        <f t="shared" si="5"/>
        <v>204931</v>
      </c>
      <c r="H30" s="14">
        <f t="shared" si="5"/>
        <v>236980</v>
      </c>
      <c r="I30" s="14">
        <f t="shared" si="5"/>
        <v>258651</v>
      </c>
      <c r="J30" s="14">
        <f t="shared" si="5"/>
        <v>258651</v>
      </c>
      <c r="K30" s="14">
        <f t="shared" si="5"/>
        <v>313652</v>
      </c>
      <c r="L30" s="14">
        <f t="shared" si="5"/>
        <v>406973</v>
      </c>
    </row>
    <row r="32" spans="1:12" ht="15" customHeight="1" x14ac:dyDescent="0.2">
      <c r="A32" s="8" t="s">
        <v>638</v>
      </c>
      <c r="B32" s="28">
        <f>IF(BS!B52&lt;&gt;0,B19/BS!B52-1,0)</f>
        <v>-0.26918378704057677</v>
      </c>
      <c r="C32" s="28">
        <f>IF(BS!C52&lt;&gt;0,C19/BS!C52-1,0)</f>
        <v>-0.25188064041489544</v>
      </c>
      <c r="D32" s="28">
        <f>IF(BS!D52&lt;&gt;0,D19/BS!D52-1,0)</f>
        <v>-1</v>
      </c>
      <c r="E32" s="28">
        <f>IF(BS!E52&lt;&gt;0,E19/BS!E52-1,0)</f>
        <v>-1</v>
      </c>
      <c r="F32" s="28">
        <f>IF(BS!F52&lt;&gt;0,F19/BS!F52-1,0)</f>
        <v>-1</v>
      </c>
      <c r="G32" s="28">
        <f>IF(BS!G52&lt;&gt;0,G19/BS!G52-1,0)</f>
        <v>-1</v>
      </c>
      <c r="H32" s="28">
        <f>IF(BS!H52&lt;&gt;0,H19/BS!H52-1,0)</f>
        <v>-0.20960491740217557</v>
      </c>
      <c r="I32" s="28">
        <f>IF(BS!I52&lt;&gt;0,I19/BS!I52-1,0)</f>
        <v>-0.29954536052594372</v>
      </c>
      <c r="J32" s="28">
        <f>IF(BS!J52&lt;&gt;0,J19/BS!J52-1,0)</f>
        <v>-1</v>
      </c>
      <c r="K32" s="28">
        <f>IF(BS!K52&lt;&gt;0,K19/BS!K52-1,0)</f>
        <v>-0.18682343118580114</v>
      </c>
      <c r="L32" s="28">
        <f>IF(BS!L52&lt;&gt;0,L19/BS!L52-1,0)</f>
        <v>-0.19222312051472401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3"/>
  <sheetViews>
    <sheetView zoomScaleNormal="100" workbookViewId="0"/>
  </sheetViews>
  <sheetFormatPr baseColWidth="10" defaultColWidth="8.6640625" defaultRowHeight="15" x14ac:dyDescent="0.2"/>
  <cols>
    <col min="1" max="1" width="44" customWidth="1"/>
    <col min="2" max="19" width="13" customWidth="1"/>
  </cols>
  <sheetData>
    <row r="1" spans="1:12" ht="15" customHeight="1" x14ac:dyDescent="0.2">
      <c r="A1" s="38" t="s">
        <v>0</v>
      </c>
    </row>
    <row r="2" spans="1:12" ht="15" customHeight="1" x14ac:dyDescent="0.2">
      <c r="A2" s="39" t="s">
        <v>639</v>
      </c>
    </row>
    <row r="3" spans="1:12" ht="15" customHeight="1" x14ac:dyDescent="0.2">
      <c r="A3" s="40" t="s">
        <v>153</v>
      </c>
    </row>
    <row r="5" spans="1:12" ht="15" customHeight="1" x14ac:dyDescent="0.2">
      <c r="A5" s="41" t="s">
        <v>640</v>
      </c>
      <c r="B5" s="41" t="s">
        <v>641</v>
      </c>
      <c r="C5" s="41" t="s">
        <v>642</v>
      </c>
      <c r="D5" s="41" t="s">
        <v>643</v>
      </c>
      <c r="E5" s="41" t="s">
        <v>644</v>
      </c>
      <c r="F5" s="41" t="s">
        <v>628</v>
      </c>
    </row>
    <row r="6" spans="1:12" ht="15" customHeight="1" x14ac:dyDescent="0.2">
      <c r="A6" s="42" t="s">
        <v>645</v>
      </c>
      <c r="B6" s="42" t="s">
        <v>646</v>
      </c>
      <c r="C6" s="43">
        <v>112</v>
      </c>
      <c r="D6" s="42" t="s">
        <v>647</v>
      </c>
      <c r="E6" s="42" t="s">
        <v>648</v>
      </c>
    </row>
    <row r="7" spans="1:12" ht="15" customHeight="1" x14ac:dyDescent="0.2">
      <c r="A7" s="42" t="s">
        <v>649</v>
      </c>
      <c r="B7" s="42" t="s">
        <v>646</v>
      </c>
      <c r="C7" s="43">
        <v>150</v>
      </c>
      <c r="D7" s="42" t="s">
        <v>650</v>
      </c>
      <c r="E7" s="42" t="s">
        <v>651</v>
      </c>
    </row>
    <row r="8" spans="1:12" ht="15" customHeight="1" x14ac:dyDescent="0.2">
      <c r="A8" s="42" t="s">
        <v>652</v>
      </c>
      <c r="B8" s="42" t="s">
        <v>653</v>
      </c>
      <c r="C8" s="43">
        <v>88</v>
      </c>
      <c r="D8" s="42" t="s">
        <v>647</v>
      </c>
      <c r="E8" s="42" t="s">
        <v>654</v>
      </c>
    </row>
    <row r="9" spans="1:12" ht="15" customHeight="1" x14ac:dyDescent="0.2">
      <c r="A9" s="42" t="s">
        <v>655</v>
      </c>
      <c r="B9" s="42" t="s">
        <v>656</v>
      </c>
      <c r="C9" s="43">
        <v>200</v>
      </c>
      <c r="D9" s="42" t="s">
        <v>657</v>
      </c>
      <c r="E9" s="42" t="s">
        <v>658</v>
      </c>
    </row>
    <row r="12" spans="1:12" ht="15" customHeight="1" x14ac:dyDescent="0.2">
      <c r="A12" s="39" t="s">
        <v>659</v>
      </c>
    </row>
    <row r="13" spans="1:12" ht="15" customHeight="1" x14ac:dyDescent="0.2">
      <c r="A13" s="42" t="s">
        <v>660</v>
      </c>
      <c r="B13" s="43">
        <v>10650</v>
      </c>
      <c r="C13" s="43">
        <v>6167</v>
      </c>
      <c r="D13" s="43">
        <v>17888</v>
      </c>
      <c r="E13" s="43">
        <v>18884</v>
      </c>
      <c r="F13" s="43">
        <v>30091</v>
      </c>
      <c r="G13" s="43">
        <v>32906</v>
      </c>
      <c r="H13" s="43">
        <v>10511</v>
      </c>
      <c r="I13" s="43">
        <v>17747</v>
      </c>
      <c r="J13" s="43">
        <v>23325</v>
      </c>
      <c r="K13" s="43">
        <v>53719</v>
      </c>
      <c r="L13" s="43">
        <v>41065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4"/>
  <sheetViews>
    <sheetView zoomScaleNormal="100" workbookViewId="0"/>
  </sheetViews>
  <sheetFormatPr baseColWidth="10" defaultColWidth="8.6640625" defaultRowHeight="15" x14ac:dyDescent="0.2"/>
  <cols>
    <col min="1" max="1" width="44" customWidth="1"/>
    <col min="2" max="19" width="13" customWidth="1"/>
  </cols>
  <sheetData>
    <row r="1" spans="1:17" ht="15" customHeight="1" x14ac:dyDescent="0.2">
      <c r="A1" s="38" t="s">
        <v>0</v>
      </c>
    </row>
    <row r="2" spans="1:17" ht="15" customHeight="1" x14ac:dyDescent="0.2">
      <c r="A2" s="39" t="s">
        <v>661</v>
      </c>
    </row>
    <row r="3" spans="1:17" ht="15" customHeight="1" x14ac:dyDescent="0.2">
      <c r="A3" s="40" t="s">
        <v>153</v>
      </c>
    </row>
    <row r="5" spans="1:17" ht="15" customHeight="1" x14ac:dyDescent="0.2">
      <c r="B5" s="41" t="s">
        <v>250</v>
      </c>
      <c r="C5" s="41" t="s">
        <v>251</v>
      </c>
      <c r="D5" s="41" t="s">
        <v>252</v>
      </c>
      <c r="E5" s="41" t="s">
        <v>253</v>
      </c>
      <c r="F5" s="41" t="s">
        <v>254</v>
      </c>
      <c r="G5" s="41" t="s">
        <v>255</v>
      </c>
      <c r="H5" s="41" t="s">
        <v>256</v>
      </c>
      <c r="I5" s="41" t="s">
        <v>257</v>
      </c>
      <c r="J5" s="41" t="s">
        <v>258</v>
      </c>
      <c r="K5" s="41" t="s">
        <v>259</v>
      </c>
      <c r="L5" s="41" t="s">
        <v>260</v>
      </c>
      <c r="M5" s="41" t="s">
        <v>3</v>
      </c>
      <c r="N5" s="41" t="s">
        <v>4</v>
      </c>
      <c r="O5" s="41" t="s">
        <v>5</v>
      </c>
      <c r="P5" s="41" t="s">
        <v>6</v>
      </c>
      <c r="Q5" s="41" t="s">
        <v>7</v>
      </c>
    </row>
    <row r="7" spans="1:17" ht="15" customHeight="1" x14ac:dyDescent="0.2">
      <c r="A7" s="42" t="s">
        <v>662</v>
      </c>
      <c r="B7" s="43">
        <v>5778108</v>
      </c>
      <c r="C7" s="43">
        <v>5540299</v>
      </c>
      <c r="D7" s="43">
        <v>5612568</v>
      </c>
      <c r="E7" s="43">
        <v>5588000</v>
      </c>
      <c r="F7" s="43">
        <v>5810000</v>
      </c>
      <c r="G7" s="43">
        <v>5948400</v>
      </c>
      <c r="H7" s="43">
        <v>5948955</v>
      </c>
      <c r="I7" s="43">
        <v>6360000</v>
      </c>
      <c r="J7" s="43">
        <v>6672000</v>
      </c>
      <c r="K7" s="43">
        <v>7075000</v>
      </c>
      <c r="L7" s="43">
        <v>7540000</v>
      </c>
      <c r="M7" s="44">
        <f>L14</f>
        <v>7618000</v>
      </c>
      <c r="N7" s="44">
        <f>M14</f>
        <v>9110944.6410126816</v>
      </c>
      <c r="O7" s="44">
        <f>N14</f>
        <v>9581610.7726163995</v>
      </c>
      <c r="P7" s="44">
        <f>O14</f>
        <v>10585841.706265258</v>
      </c>
      <c r="Q7" s="44">
        <f>P14</f>
        <v>10997703.013812741</v>
      </c>
    </row>
    <row r="8" spans="1:17" ht="15" customHeight="1" x14ac:dyDescent="0.2">
      <c r="A8" s="42" t="s">
        <v>663</v>
      </c>
      <c r="B8" s="43">
        <v>3290</v>
      </c>
      <c r="C8" s="43">
        <v>70000</v>
      </c>
      <c r="D8" s="43">
        <v>5000</v>
      </c>
      <c r="E8" s="43">
        <v>15000</v>
      </c>
      <c r="F8" s="43">
        <v>30000</v>
      </c>
      <c r="G8" s="43">
        <v>50000</v>
      </c>
      <c r="H8" s="43">
        <v>5000</v>
      </c>
      <c r="I8" s="43">
        <v>30000</v>
      </c>
      <c r="J8" s="43">
        <v>10000</v>
      </c>
      <c r="K8" s="43">
        <v>40000</v>
      </c>
      <c r="L8" s="43">
        <v>10000</v>
      </c>
      <c r="M8" s="45">
        <f>Assumptions!B23</f>
        <v>100000</v>
      </c>
      <c r="N8" s="45">
        <f>Assumptions!C23</f>
        <v>150000</v>
      </c>
      <c r="O8" s="45">
        <f>Assumptions!D23</f>
        <v>100000</v>
      </c>
      <c r="P8" s="45">
        <f>Assumptions!E23</f>
        <v>100000</v>
      </c>
      <c r="Q8" s="45">
        <f>Assumptions!F23</f>
        <v>100000</v>
      </c>
    </row>
    <row r="9" spans="1:17" ht="15" customHeight="1" x14ac:dyDescent="0.2">
      <c r="A9" s="42" t="s">
        <v>664</v>
      </c>
      <c r="B9" s="43">
        <v>-137025</v>
      </c>
      <c r="C9" s="43">
        <v>0</v>
      </c>
      <c r="D9" s="43">
        <v>-5000</v>
      </c>
      <c r="E9" s="43">
        <v>0</v>
      </c>
      <c r="F9" s="43">
        <v>0</v>
      </c>
      <c r="G9" s="43">
        <v>0</v>
      </c>
      <c r="H9" s="43">
        <v>-8000</v>
      </c>
      <c r="I9" s="43">
        <v>0</v>
      </c>
      <c r="J9" s="43">
        <v>0</v>
      </c>
      <c r="K9" s="43">
        <v>-45000</v>
      </c>
      <c r="L9" s="43">
        <v>-35000</v>
      </c>
      <c r="M9" s="45">
        <f>-Assumptions!B27</f>
        <v>-50000</v>
      </c>
      <c r="N9" s="45">
        <f>-Assumptions!C27</f>
        <v>-50000</v>
      </c>
      <c r="O9" s="45">
        <f>-Assumptions!D27</f>
        <v>-50000</v>
      </c>
      <c r="P9" s="45">
        <f>-Assumptions!E27</f>
        <v>-50000</v>
      </c>
      <c r="Q9" s="45">
        <f>-Assumptions!F27</f>
        <v>-50000</v>
      </c>
    </row>
    <row r="10" spans="1:17" ht="15" customHeight="1" x14ac:dyDescent="0.2">
      <c r="A10" s="42" t="s">
        <v>665</v>
      </c>
      <c r="B10" s="43">
        <v>88660</v>
      </c>
      <c r="C10" s="43">
        <v>97744</v>
      </c>
      <c r="D10" s="43">
        <v>190203</v>
      </c>
      <c r="E10" s="43">
        <v>117914</v>
      </c>
      <c r="F10" s="43">
        <v>117645</v>
      </c>
      <c r="G10" s="43">
        <v>108653</v>
      </c>
      <c r="H10" s="43">
        <v>121492</v>
      </c>
      <c r="I10" s="43">
        <v>123885</v>
      </c>
      <c r="J10" s="43">
        <v>119012</v>
      </c>
      <c r="K10" s="43">
        <v>124395</v>
      </c>
      <c r="L10" s="43">
        <v>131089</v>
      </c>
      <c r="M10" s="45">
        <f>Assumptions!B72</f>
        <v>155099.31111111108</v>
      </c>
      <c r="N10" s="45">
        <f>Assumptions!C72</f>
        <v>162528.84</v>
      </c>
      <c r="O10" s="45">
        <f>Assumptions!D72</f>
        <v>168800.03555555551</v>
      </c>
      <c r="P10" s="45">
        <f>Assumptions!E72</f>
        <v>175149.00888888881</v>
      </c>
      <c r="Q10" s="45">
        <f>Assumptions!F72</f>
        <v>181575.75999999989</v>
      </c>
    </row>
    <row r="11" spans="1:17" ht="15" customHeight="1" x14ac:dyDescent="0.2">
      <c r="A11" s="42" t="s">
        <v>666</v>
      </c>
      <c r="B11" s="43">
        <v>10650</v>
      </c>
      <c r="C11" s="43">
        <v>6167</v>
      </c>
      <c r="D11" s="43">
        <v>17888</v>
      </c>
      <c r="E11" s="43">
        <v>18884</v>
      </c>
      <c r="F11" s="43">
        <v>30091</v>
      </c>
      <c r="G11" s="43">
        <v>32906</v>
      </c>
      <c r="H11" s="43">
        <v>10511</v>
      </c>
      <c r="I11" s="43">
        <v>17747</v>
      </c>
      <c r="J11" s="43">
        <v>23325</v>
      </c>
      <c r="K11" s="43">
        <v>53719</v>
      </c>
      <c r="L11" s="43">
        <v>41065</v>
      </c>
      <c r="M11" s="45">
        <f>Assumptions!B75</f>
        <v>30000</v>
      </c>
      <c r="N11" s="45">
        <f>Assumptions!C75</f>
        <v>20000</v>
      </c>
      <c r="O11" s="45">
        <f>Assumptions!D75</f>
        <v>15000</v>
      </c>
      <c r="P11" s="45">
        <f>Assumptions!E75</f>
        <v>10000</v>
      </c>
      <c r="Q11" s="45">
        <f>Assumptions!F75</f>
        <v>5000</v>
      </c>
    </row>
    <row r="12" spans="1:17" ht="15" customHeight="1" x14ac:dyDescent="0.2">
      <c r="A12" s="42" t="s">
        <v>667</v>
      </c>
      <c r="B12" s="43">
        <v>-194920</v>
      </c>
      <c r="C12" s="43">
        <v>-180843</v>
      </c>
      <c r="D12" s="43">
        <v>-32256</v>
      </c>
      <c r="E12" s="43">
        <v>92348</v>
      </c>
      <c r="F12" s="43">
        <v>-102692</v>
      </c>
      <c r="G12" s="43">
        <v>-326536</v>
      </c>
      <c r="H12" s="43">
        <v>607185</v>
      </c>
      <c r="I12" s="43">
        <v>103342</v>
      </c>
      <c r="J12" s="43">
        <v>306889</v>
      </c>
      <c r="K12" s="43">
        <v>359888</v>
      </c>
      <c r="L12" s="43">
        <v>-24948</v>
      </c>
    </row>
    <row r="13" spans="1:17" ht="15" customHeight="1" x14ac:dyDescent="0.2">
      <c r="A13" s="42" t="s">
        <v>667</v>
      </c>
      <c r="B13" s="43">
        <v>1000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4">
        <f>M14-M7-M8-M10-M11+ABS(M9)</f>
        <v>1257845.3299015705</v>
      </c>
      <c r="N13" s="44">
        <f>N14-N7-N8-N10-N11+ABS(N9)</f>
        <v>188137.29160371781</v>
      </c>
      <c r="O13" s="44">
        <f>O14-O7-O8-O10-O11+ABS(O9)</f>
        <v>770430.89809330273</v>
      </c>
      <c r="P13" s="44">
        <f>P14-P7-P8-P10-P11+ABS(P9)</f>
        <v>176712.29865859478</v>
      </c>
      <c r="Q13" s="44">
        <f>Q14-Q7-Q8-Q10-Q11+ABS(Q9)</f>
        <v>117718.60886367213</v>
      </c>
    </row>
    <row r="14" spans="1:17" ht="15" customHeight="1" x14ac:dyDescent="0.2">
      <c r="A14" s="39" t="s">
        <v>668</v>
      </c>
      <c r="B14" s="43">
        <v>5540299</v>
      </c>
      <c r="C14" s="43">
        <v>5612568</v>
      </c>
      <c r="D14" s="43">
        <v>5588000</v>
      </c>
      <c r="E14" s="43">
        <v>5810000</v>
      </c>
      <c r="F14" s="43">
        <v>5948400</v>
      </c>
      <c r="G14" s="43">
        <v>5948955</v>
      </c>
      <c r="H14" s="43">
        <v>6360000</v>
      </c>
      <c r="I14" s="43">
        <v>6672000</v>
      </c>
      <c r="J14" s="43">
        <v>7075000</v>
      </c>
      <c r="K14" s="43">
        <v>7540000</v>
      </c>
      <c r="L14" s="43">
        <v>7618000</v>
      </c>
      <c r="M14" s="45">
        <f>BS!M8</f>
        <v>9110944.6410126816</v>
      </c>
      <c r="N14" s="45">
        <f>BS!N8</f>
        <v>9581610.7726163995</v>
      </c>
      <c r="O14" s="45">
        <f>BS!O8</f>
        <v>10585841.706265258</v>
      </c>
      <c r="P14" s="45">
        <f>BS!P8</f>
        <v>10997703.013812741</v>
      </c>
      <c r="Q14" s="45">
        <f>BS!Q8</f>
        <v>11351997.382676413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8"/>
  <sheetViews>
    <sheetView zoomScaleNormal="100" workbookViewId="0"/>
  </sheetViews>
  <sheetFormatPr baseColWidth="10" defaultColWidth="8.6640625" defaultRowHeight="15" x14ac:dyDescent="0.2"/>
  <cols>
    <col min="1" max="1" width="44" customWidth="1"/>
    <col min="2" max="19" width="13" customWidth="1"/>
  </cols>
  <sheetData>
    <row r="1" spans="1:19" ht="15" customHeight="1" x14ac:dyDescent="0.2">
      <c r="A1" s="38" t="s">
        <v>0</v>
      </c>
    </row>
    <row r="2" spans="1:19" ht="15" customHeight="1" x14ac:dyDescent="0.2">
      <c r="A2" s="39" t="s">
        <v>669</v>
      </c>
    </row>
    <row r="3" spans="1:19" ht="15" customHeight="1" x14ac:dyDescent="0.2">
      <c r="A3" s="40" t="s">
        <v>153</v>
      </c>
    </row>
    <row r="5" spans="1:19" ht="15" customHeight="1" x14ac:dyDescent="0.2">
      <c r="B5" s="41" t="s">
        <v>250</v>
      </c>
      <c r="C5" s="41" t="s">
        <v>251</v>
      </c>
      <c r="D5" s="41" t="s">
        <v>252</v>
      </c>
      <c r="E5" s="41" t="s">
        <v>253</v>
      </c>
      <c r="F5" s="41" t="s">
        <v>254</v>
      </c>
      <c r="G5" s="41" t="s">
        <v>255</v>
      </c>
      <c r="H5" s="41" t="s">
        <v>256</v>
      </c>
      <c r="I5" s="41" t="s">
        <v>257</v>
      </c>
      <c r="J5" s="41" t="s">
        <v>258</v>
      </c>
      <c r="K5" s="41" t="s">
        <v>259</v>
      </c>
      <c r="L5" s="41" t="s">
        <v>260</v>
      </c>
      <c r="M5" s="41" t="s">
        <v>3</v>
      </c>
      <c r="N5" s="41" t="s">
        <v>4</v>
      </c>
      <c r="O5" s="41" t="s">
        <v>5</v>
      </c>
      <c r="P5" s="41" t="s">
        <v>6</v>
      </c>
      <c r="Q5" s="41" t="s">
        <v>7</v>
      </c>
    </row>
    <row r="7" spans="1:19" ht="15" customHeight="1" x14ac:dyDescent="0.2">
      <c r="A7" s="42" t="s">
        <v>670</v>
      </c>
      <c r="B7" s="43">
        <v>2350478</v>
      </c>
      <c r="C7" s="43">
        <v>2508000</v>
      </c>
      <c r="D7" s="43">
        <v>2691175</v>
      </c>
      <c r="E7" s="43">
        <v>2791000</v>
      </c>
      <c r="F7" s="43">
        <v>2841000</v>
      </c>
      <c r="G7" s="43">
        <v>2997000</v>
      </c>
      <c r="H7" s="43">
        <v>3078000</v>
      </c>
      <c r="I7" s="43">
        <v>3314000</v>
      </c>
      <c r="J7" s="43">
        <v>3418000</v>
      </c>
      <c r="K7" s="43">
        <v>3386000</v>
      </c>
      <c r="L7" s="43">
        <v>3590000</v>
      </c>
      <c r="M7" s="45">
        <f>Assumptions!B53</f>
        <v>3540000</v>
      </c>
      <c r="N7" s="45">
        <f>Assumptions!C53</f>
        <v>3513000</v>
      </c>
      <c r="O7" s="45">
        <f>Assumptions!D53</f>
        <v>3459000</v>
      </c>
      <c r="P7" s="45">
        <f>Assumptions!E53</f>
        <v>3403000</v>
      </c>
      <c r="Q7" s="45">
        <f>Assumptions!F53</f>
        <v>3345000</v>
      </c>
    </row>
    <row r="8" spans="1:19" ht="15" customHeight="1" x14ac:dyDescent="0.2">
      <c r="A8" s="42" t="s">
        <v>671</v>
      </c>
      <c r="B8" s="46">
        <v>3.0099999999999998E-2</v>
      </c>
      <c r="C8" s="46">
        <v>2.7799999999999998E-2</v>
      </c>
      <c r="D8" s="46">
        <v>2.6100000000000002E-2</v>
      </c>
      <c r="E8" s="46">
        <v>2.6499999999999999E-2</v>
      </c>
      <c r="F8" s="46">
        <v>2.7400000000000001E-2</v>
      </c>
      <c r="G8" s="46">
        <v>2.58E-2</v>
      </c>
      <c r="H8" s="46">
        <v>2.46E-2</v>
      </c>
      <c r="I8" s="46">
        <v>2.7199999999999998E-2</v>
      </c>
      <c r="J8" s="46">
        <v>0.03</v>
      </c>
      <c r="K8" s="46">
        <v>3.1899999999999998E-2</v>
      </c>
      <c r="L8" s="46">
        <v>3.3500000000000002E-2</v>
      </c>
    </row>
    <row r="9" spans="1:19" ht="15" customHeight="1" x14ac:dyDescent="0.2">
      <c r="A9" s="42" t="s">
        <v>452</v>
      </c>
      <c r="B9" s="47">
        <v>1</v>
      </c>
      <c r="C9" s="47">
        <v>1</v>
      </c>
      <c r="D9" s="47">
        <v>1</v>
      </c>
      <c r="E9" s="47">
        <v>1</v>
      </c>
      <c r="F9" s="47">
        <v>1</v>
      </c>
      <c r="G9" s="47">
        <v>1</v>
      </c>
      <c r="H9" s="47">
        <v>1</v>
      </c>
      <c r="I9" s="47">
        <v>1</v>
      </c>
      <c r="J9" s="47">
        <v>1</v>
      </c>
      <c r="K9" s="47">
        <v>1</v>
      </c>
      <c r="L9" s="47">
        <v>1</v>
      </c>
      <c r="S9" s="40" t="s">
        <v>672</v>
      </c>
    </row>
    <row r="10" spans="1:19" ht="15" customHeight="1" x14ac:dyDescent="0.2">
      <c r="A10" s="42" t="s">
        <v>59</v>
      </c>
      <c r="B10" s="43">
        <v>49519</v>
      </c>
      <c r="C10" s="43">
        <v>54878</v>
      </c>
      <c r="D10" s="43">
        <v>60399</v>
      </c>
      <c r="E10" s="43">
        <v>63726</v>
      </c>
      <c r="F10" s="43">
        <v>68203</v>
      </c>
      <c r="G10" s="43">
        <v>69686</v>
      </c>
      <c r="H10" s="43">
        <v>72459</v>
      </c>
      <c r="I10" s="43">
        <v>74588</v>
      </c>
      <c r="J10" s="43">
        <v>74448</v>
      </c>
      <c r="K10" s="43">
        <v>75282</v>
      </c>
      <c r="L10" s="43">
        <v>78641</v>
      </c>
      <c r="M10" s="45">
        <f>Assumptions!B41</f>
        <v>0.5</v>
      </c>
      <c r="N10" s="45">
        <f>Assumptions!C41</f>
        <v>0.5</v>
      </c>
      <c r="O10" s="45">
        <f>Assumptions!D41</f>
        <v>0.5</v>
      </c>
      <c r="P10" s="45">
        <f>Assumptions!E41</f>
        <v>0.5</v>
      </c>
      <c r="Q10" s="45">
        <f>Assumptions!F41</f>
        <v>0.5</v>
      </c>
    </row>
    <row r="12" spans="1:19" ht="15" customHeight="1" x14ac:dyDescent="0.2">
      <c r="A12" s="42" t="s">
        <v>455</v>
      </c>
      <c r="B12" s="48">
        <v>4.7</v>
      </c>
      <c r="C12" s="48">
        <v>4.5</v>
      </c>
      <c r="D12" s="48">
        <v>4.3</v>
      </c>
      <c r="E12" s="48">
        <v>4.5</v>
      </c>
      <c r="F12" s="48">
        <v>4.5999999999999996</v>
      </c>
      <c r="G12" s="48">
        <v>4.8</v>
      </c>
      <c r="H12" s="48">
        <v>5</v>
      </c>
      <c r="I12" s="48">
        <v>4.8</v>
      </c>
      <c r="J12" s="48">
        <v>4.5</v>
      </c>
      <c r="K12" s="48">
        <v>4.3</v>
      </c>
      <c r="L12" s="48">
        <v>4.2</v>
      </c>
    </row>
    <row r="14" spans="1:19" ht="15" customHeight="1" x14ac:dyDescent="0.2">
      <c r="A14" s="39" t="s">
        <v>673</v>
      </c>
    </row>
    <row r="15" spans="1:19" ht="15" customHeight="1" x14ac:dyDescent="0.2">
      <c r="A15" s="42" t="s">
        <v>674</v>
      </c>
      <c r="B15" s="49">
        <f>0</f>
        <v>0</v>
      </c>
      <c r="C15" s="49">
        <f>0</f>
        <v>0</v>
      </c>
      <c r="D15" s="49">
        <f>0</f>
        <v>0</v>
      </c>
      <c r="E15" s="49">
        <f>0</f>
        <v>0</v>
      </c>
      <c r="F15" s="49">
        <f>0</f>
        <v>0</v>
      </c>
      <c r="G15" s="49">
        <f>0</f>
        <v>0</v>
      </c>
      <c r="H15" s="49">
        <f>0</f>
        <v>0</v>
      </c>
      <c r="I15" s="49">
        <f>0</f>
        <v>0</v>
      </c>
      <c r="J15" s="49">
        <f>0</f>
        <v>0</v>
      </c>
      <c r="K15" s="49">
        <f>0</f>
        <v>0</v>
      </c>
      <c r="L15" s="49">
        <f>IF(L7&lt;&gt;0,Assumptions!B38/L7,0)</f>
        <v>0.1392757660167131</v>
      </c>
    </row>
    <row r="16" spans="1:19" ht="15" customHeight="1" x14ac:dyDescent="0.2">
      <c r="A16" s="42" t="s">
        <v>675</v>
      </c>
      <c r="B16" s="49">
        <f t="shared" ref="B16:Q16" si="0">IF(B7&lt;&gt;0,B10/B7,0)</f>
        <v>2.1067629648097112E-2</v>
      </c>
      <c r="C16" s="49">
        <f t="shared" si="0"/>
        <v>2.1881180223285487E-2</v>
      </c>
      <c r="D16" s="49">
        <f t="shared" si="0"/>
        <v>2.2443356526424332E-2</v>
      </c>
      <c r="E16" s="49">
        <f t="shared" si="0"/>
        <v>2.2832676460050161E-2</v>
      </c>
      <c r="F16" s="49">
        <f t="shared" si="0"/>
        <v>2.4006687785990848E-2</v>
      </c>
      <c r="G16" s="49">
        <f t="shared" si="0"/>
        <v>2.325191858525192E-2</v>
      </c>
      <c r="H16" s="49">
        <f t="shared" si="0"/>
        <v>2.3540935672514619E-2</v>
      </c>
      <c r="I16" s="49">
        <f t="shared" si="0"/>
        <v>2.2506940253470126E-2</v>
      </c>
      <c r="J16" s="49">
        <f t="shared" si="0"/>
        <v>2.1781158572264481E-2</v>
      </c>
      <c r="K16" s="49">
        <f t="shared" si="0"/>
        <v>2.2233313644418193E-2</v>
      </c>
      <c r="L16" s="49">
        <f t="shared" si="0"/>
        <v>2.1905571030640669E-2</v>
      </c>
      <c r="M16" s="49">
        <f t="shared" si="0"/>
        <v>1.4124293785310734E-7</v>
      </c>
      <c r="N16" s="49">
        <f t="shared" si="0"/>
        <v>1.4232849416453175E-7</v>
      </c>
      <c r="O16" s="49">
        <f t="shared" si="0"/>
        <v>1.4455044810638913E-7</v>
      </c>
      <c r="P16" s="49">
        <f t="shared" si="0"/>
        <v>1.4692918013517483E-7</v>
      </c>
      <c r="Q16" s="49">
        <f t="shared" si="0"/>
        <v>1.4947683109118088E-7</v>
      </c>
    </row>
    <row r="18" spans="1:17" ht="15" customHeight="1" x14ac:dyDescent="0.2">
      <c r="A18" s="39" t="s">
        <v>676</v>
      </c>
    </row>
    <row r="19" spans="1:17" ht="15" customHeight="1" x14ac:dyDescent="0.2">
      <c r="A19" s="42" t="s">
        <v>677</v>
      </c>
      <c r="B19" s="45">
        <f>CFS!B44</f>
        <v>87498</v>
      </c>
      <c r="C19" s="45">
        <f>CFS!C44</f>
        <v>84256</v>
      </c>
      <c r="D19" s="45">
        <f>CFS!D44</f>
        <v>79907</v>
      </c>
      <c r="E19" s="45">
        <f>CFS!E44</f>
        <v>74328</v>
      </c>
      <c r="F19" s="45">
        <f>CFS!F44</f>
        <v>81673</v>
      </c>
      <c r="G19" s="45">
        <f>CFS!G44</f>
        <v>85448</v>
      </c>
      <c r="H19" s="45">
        <f>CFS!H44</f>
        <v>82951</v>
      </c>
      <c r="I19" s="45">
        <f>CFS!I44</f>
        <v>87639</v>
      </c>
      <c r="J19" s="45">
        <f>CFS!J44</f>
        <v>103084</v>
      </c>
      <c r="K19" s="45">
        <f>CFS!K44</f>
        <v>113123</v>
      </c>
      <c r="L19" s="45">
        <f>CFS!L44</f>
        <v>119641</v>
      </c>
      <c r="M19" s="45">
        <f>CFS!M44</f>
        <v>133432.14185393258</v>
      </c>
      <c r="N19" s="45">
        <f>CFS!N44</f>
        <v>134032.9521652986</v>
      </c>
      <c r="O19" s="45">
        <f>CFS!O44</f>
        <v>132096.25352112678</v>
      </c>
      <c r="P19" s="45">
        <f>CFS!P44</f>
        <v>128603.36210926088</v>
      </c>
      <c r="Q19" s="45">
        <f>CFS!Q44</f>
        <v>124640.47310549776</v>
      </c>
    </row>
    <row r="20" spans="1:17" ht="15" customHeight="1" x14ac:dyDescent="0.2">
      <c r="A20" s="42" t="s">
        <v>678</v>
      </c>
      <c r="B20" s="50">
        <f>IF(IS!B20&lt;&gt;0,B19/IS!B20,0)</f>
        <v>0.29690331249872753</v>
      </c>
      <c r="C20" s="50">
        <f>IF(IS!C20&lt;&gt;0,C19/IS!C20,0)</f>
        <v>0.33289740378270954</v>
      </c>
      <c r="D20" s="50">
        <f>IF(IS!D20&lt;&gt;0,D19/IS!D20,0)</f>
        <v>0.36979771661815136</v>
      </c>
      <c r="E20" s="50">
        <f>IF(IS!E20&lt;&gt;0,E19/IS!E20,0)</f>
        <v>0.32883839456360159</v>
      </c>
      <c r="F20" s="50">
        <f>IF(IS!F20&lt;&gt;0,F19/IS!F20,0)</f>
        <v>0.31559199823797396</v>
      </c>
      <c r="G20" s="50">
        <f>IF(IS!G20&lt;&gt;0,G19/IS!G20,0)</f>
        <v>0.31748060517789733</v>
      </c>
      <c r="H20" s="50">
        <f>IF(IS!H20&lt;&gt;0,H19/IS!H20,0)</f>
        <v>0.30236567762630312</v>
      </c>
      <c r="I20" s="50">
        <f>IF(IS!I20&lt;&gt;0,I19/IS!I20,0)</f>
        <v>0.30502227481553668</v>
      </c>
      <c r="J20" s="50">
        <f>IF(IS!J20&lt;&gt;0,J19/IS!J20,0)</f>
        <v>0.30957178765664933</v>
      </c>
      <c r="K20" s="50">
        <f>IF(IS!K20&lt;&gt;0,K19/IS!K20,0)</f>
        <v>0.29587481102910024</v>
      </c>
      <c r="L20" s="50">
        <f>IF(IS!L20&lt;&gt;0,L19/IS!L20,0)</f>
        <v>0.28652340616101601</v>
      </c>
      <c r="M20" s="50">
        <f>IF(IS!M20&lt;&gt;0,M19/IS!M20,0)</f>
        <v>0.30832123714105397</v>
      </c>
      <c r="N20" s="50">
        <f>IF(IS!N20&lt;&gt;0,N19/IS!N20,0)</f>
        <v>0.29449603290493381</v>
      </c>
      <c r="O20" s="50">
        <f>IF(IS!O20&lt;&gt;0,O19/IS!O20,0)</f>
        <v>0.27730173772881161</v>
      </c>
      <c r="P20" s="50">
        <f>IF(IS!P20&lt;&gt;0,P19/IS!P20,0)</f>
        <v>0.25985903490279227</v>
      </c>
      <c r="Q20" s="50">
        <f>IF(IS!Q20&lt;&gt;0,Q19/IS!Q20,0)</f>
        <v>0.24399127288912942</v>
      </c>
    </row>
    <row r="21" spans="1:17" ht="15" customHeight="1" x14ac:dyDescent="0.2">
      <c r="A21" s="42" t="s">
        <v>679</v>
      </c>
      <c r="B21" s="51">
        <f t="shared" ref="B21:Q21" si="1">IF(B7&lt;&gt;0,B19/B7,0)</f>
        <v>3.7225619639920049E-2</v>
      </c>
      <c r="C21" s="51">
        <f t="shared" si="1"/>
        <v>3.3594896331738434E-2</v>
      </c>
      <c r="D21" s="51">
        <f t="shared" si="1"/>
        <v>2.9692234804499892E-2</v>
      </c>
      <c r="E21" s="51">
        <f t="shared" si="1"/>
        <v>2.6631314940881404E-2</v>
      </c>
      <c r="F21" s="51">
        <f t="shared" si="1"/>
        <v>2.8747976064765927E-2</v>
      </c>
      <c r="G21" s="51">
        <f t="shared" si="1"/>
        <v>2.8511177844511178E-2</v>
      </c>
      <c r="H21" s="51">
        <f t="shared" si="1"/>
        <v>2.6949642625081222E-2</v>
      </c>
      <c r="I21" s="51">
        <f t="shared" si="1"/>
        <v>2.6445081472540738E-2</v>
      </c>
      <c r="J21" s="51">
        <f t="shared" si="1"/>
        <v>3.0159157401989468E-2</v>
      </c>
      <c r="K21" s="51">
        <f t="shared" si="1"/>
        <v>3.3409037212049617E-2</v>
      </c>
      <c r="L21" s="51">
        <f t="shared" si="1"/>
        <v>3.3326183844011141E-2</v>
      </c>
      <c r="M21" s="51">
        <f t="shared" si="1"/>
        <v>3.7692695438964009E-2</v>
      </c>
      <c r="N21" s="51">
        <f t="shared" si="1"/>
        <v>3.8153416500227327E-2</v>
      </c>
      <c r="O21" s="51">
        <f t="shared" si="1"/>
        <v>3.8189145279308119E-2</v>
      </c>
      <c r="P21" s="51">
        <f t="shared" si="1"/>
        <v>3.7791173114681421E-2</v>
      </c>
      <c r="Q21" s="51">
        <f t="shared" si="1"/>
        <v>3.7261725891030724E-2</v>
      </c>
    </row>
    <row r="22" spans="1:17" ht="15" customHeight="1" x14ac:dyDescent="0.2">
      <c r="A22" s="42" t="s">
        <v>680</v>
      </c>
      <c r="M22" s="45">
        <f>Assumptions!B43</f>
        <v>80000</v>
      </c>
      <c r="N22" s="45">
        <f>Assumptions!C43</f>
        <v>82000</v>
      </c>
      <c r="O22" s="45">
        <f>Assumptions!D43</f>
        <v>84000</v>
      </c>
      <c r="P22" s="45">
        <f>Assumptions!E43</f>
        <v>86000</v>
      </c>
      <c r="Q22" s="45">
        <f>Assumptions!F43</f>
        <v>88000</v>
      </c>
    </row>
    <row r="24" spans="1:17" ht="15" customHeight="1" x14ac:dyDescent="0.2">
      <c r="A24" s="39" t="s">
        <v>681</v>
      </c>
    </row>
    <row r="25" spans="1:17" ht="15" customHeight="1" x14ac:dyDescent="0.2">
      <c r="A25" s="42" t="s">
        <v>682</v>
      </c>
      <c r="M25" s="45">
        <f>Assumptions!B38</f>
        <v>500000</v>
      </c>
      <c r="N25" s="45">
        <f>Assumptions!C38</f>
        <v>450000</v>
      </c>
      <c r="O25" s="45">
        <f>Assumptions!D38</f>
        <v>550000</v>
      </c>
      <c r="P25" s="45">
        <f>Assumptions!E38</f>
        <v>400000</v>
      </c>
      <c r="Q25" s="45">
        <f>Assumptions!F38</f>
        <v>500000</v>
      </c>
    </row>
    <row r="26" spans="1:17" ht="15" customHeight="1" x14ac:dyDescent="0.2">
      <c r="A26" s="42" t="s">
        <v>683</v>
      </c>
      <c r="M26" s="52">
        <f>Assumptions!B39</f>
        <v>2.5000000000000001E-2</v>
      </c>
      <c r="N26" s="52">
        <f>Assumptions!C39</f>
        <v>2.8000000000000001E-2</v>
      </c>
      <c r="O26" s="52">
        <f>Assumptions!D39</f>
        <v>0.03</v>
      </c>
      <c r="P26" s="52">
        <f>Assumptions!E39</f>
        <v>3.2000000000000001E-2</v>
      </c>
      <c r="Q26" s="52">
        <f>Assumptions!F39</f>
        <v>3.3000000000000002E-2</v>
      </c>
    </row>
    <row r="27" spans="1:17" ht="15" customHeight="1" x14ac:dyDescent="0.2">
      <c r="A27" s="42" t="s">
        <v>684</v>
      </c>
      <c r="M27" s="52">
        <f>Assumptions!B40</f>
        <v>3.7199999999999997E-2</v>
      </c>
      <c r="N27" s="52">
        <f>Assumptions!C40</f>
        <v>3.7999999999999999E-2</v>
      </c>
      <c r="O27" s="52">
        <f>Assumptions!D40</f>
        <v>3.6999999999999998E-2</v>
      </c>
      <c r="P27" s="52">
        <f>Assumptions!E40</f>
        <v>3.6999999999999998E-2</v>
      </c>
      <c r="Q27" s="52">
        <f>Assumptions!F40</f>
        <v>3.5999999999999997E-2</v>
      </c>
    </row>
    <row r="28" spans="1:17" ht="15" customHeight="1" x14ac:dyDescent="0.2">
      <c r="A28" s="42" t="s">
        <v>685</v>
      </c>
      <c r="M28" s="44">
        <f>(M27-M26)*10000</f>
        <v>121.99999999999996</v>
      </c>
      <c r="N28" s="44">
        <f>(N27-N26)*10000</f>
        <v>99.999999999999986</v>
      </c>
      <c r="O28" s="44">
        <f>(O27-O26)*10000</f>
        <v>69.999999999999986</v>
      </c>
      <c r="P28" s="44">
        <f>(P27-P26)*10000</f>
        <v>49.999999999999972</v>
      </c>
      <c r="Q28" s="44">
        <f>(Q27-Q26)*10000</f>
        <v>29.999999999999957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7"/>
  <sheetViews>
    <sheetView zoomScaleNormal="100" workbookViewId="0"/>
  </sheetViews>
  <sheetFormatPr baseColWidth="10" defaultColWidth="8.6640625" defaultRowHeight="15" x14ac:dyDescent="0.2"/>
  <cols>
    <col min="1" max="1" width="44" customWidth="1"/>
    <col min="2" max="19" width="13" customWidth="1"/>
  </cols>
  <sheetData>
    <row r="1" spans="1:19" ht="15" customHeight="1" x14ac:dyDescent="0.2">
      <c r="A1" s="38" t="s">
        <v>0</v>
      </c>
    </row>
    <row r="2" spans="1:19" ht="15" customHeight="1" x14ac:dyDescent="0.2">
      <c r="A2" s="39" t="s">
        <v>686</v>
      </c>
    </row>
    <row r="3" spans="1:19" ht="15" customHeight="1" x14ac:dyDescent="0.2">
      <c r="A3" s="40" t="s">
        <v>153</v>
      </c>
    </row>
    <row r="5" spans="1:19" ht="15" customHeight="1" x14ac:dyDescent="0.2">
      <c r="B5" s="53" t="s">
        <v>250</v>
      </c>
      <c r="C5" s="53" t="s">
        <v>251</v>
      </c>
      <c r="D5" s="53" t="s">
        <v>252</v>
      </c>
      <c r="E5" s="53" t="s">
        <v>253</v>
      </c>
      <c r="F5" s="53" t="s">
        <v>254</v>
      </c>
      <c r="G5" s="53" t="s">
        <v>255</v>
      </c>
      <c r="H5" s="53" t="s">
        <v>256</v>
      </c>
      <c r="I5" s="53" t="s">
        <v>257</v>
      </c>
      <c r="J5" s="53" t="s">
        <v>258</v>
      </c>
      <c r="K5" s="53" t="s">
        <v>259</v>
      </c>
      <c r="L5" s="53" t="s">
        <v>260</v>
      </c>
      <c r="M5" s="53" t="s">
        <v>3</v>
      </c>
      <c r="N5" s="53" t="s">
        <v>4</v>
      </c>
      <c r="O5" s="53" t="s">
        <v>5</v>
      </c>
      <c r="P5" s="53" t="s">
        <v>6</v>
      </c>
      <c r="Q5" s="53" t="s">
        <v>7</v>
      </c>
      <c r="S5" s="53" t="s">
        <v>687</v>
      </c>
    </row>
    <row r="7" spans="1:19" ht="15" customHeight="1" x14ac:dyDescent="0.2">
      <c r="A7" s="39" t="s">
        <v>688</v>
      </c>
    </row>
    <row r="8" spans="1:19" ht="15" customHeight="1" x14ac:dyDescent="0.2">
      <c r="A8" s="42" t="s">
        <v>129</v>
      </c>
      <c r="B8" s="45">
        <f>CFS!B18</f>
        <v>172220</v>
      </c>
      <c r="C8" s="45">
        <f>CFS!C18</f>
        <v>133687</v>
      </c>
      <c r="D8" s="45">
        <f>CFS!D18</f>
        <v>102063</v>
      </c>
      <c r="E8" s="45">
        <f>CFS!E18</f>
        <v>107304</v>
      </c>
      <c r="F8" s="45">
        <f>CFS!F18</f>
        <v>160743</v>
      </c>
      <c r="G8" s="45">
        <f>CFS!G18</f>
        <v>141081</v>
      </c>
      <c r="H8" s="45">
        <f>CFS!H18</f>
        <v>145000</v>
      </c>
      <c r="I8" s="45">
        <f>CFS!I18</f>
        <v>150000</v>
      </c>
      <c r="J8" s="45">
        <f>CFS!J18</f>
        <v>180000</v>
      </c>
      <c r="K8" s="45">
        <f>CFS!K18</f>
        <v>210000</v>
      </c>
      <c r="L8" s="45">
        <f>CFS!L18</f>
        <v>230000</v>
      </c>
      <c r="M8" s="45">
        <f>CFS!M18</f>
        <v>246999.18530640006</v>
      </c>
      <c r="N8" s="45">
        <f>CFS!N18</f>
        <v>265791.45996257965</v>
      </c>
      <c r="O8" s="45">
        <f>CFS!O18</f>
        <v>287224.20477178949</v>
      </c>
      <c r="P8" s="45">
        <f>CFS!P18</f>
        <v>306693.27891450166</v>
      </c>
      <c r="Q8" s="45">
        <f>CFS!Q18</f>
        <v>323932.91590286844</v>
      </c>
      <c r="S8" s="44">
        <f>SUM(B8:L8)</f>
        <v>1732098</v>
      </c>
    </row>
    <row r="9" spans="1:19" ht="15" customHeight="1" x14ac:dyDescent="0.2">
      <c r="A9" s="42" t="s">
        <v>352</v>
      </c>
      <c r="B9" s="45">
        <f>CFS!B33</f>
        <v>130170</v>
      </c>
      <c r="C9" s="45">
        <f>CFS!C33</f>
        <v>0</v>
      </c>
      <c r="D9" s="45">
        <f>CFS!D33</f>
        <v>5000</v>
      </c>
      <c r="E9" s="45">
        <f>CFS!E33</f>
        <v>0</v>
      </c>
      <c r="F9" s="45">
        <f>CFS!F33</f>
        <v>0</v>
      </c>
      <c r="G9" s="45">
        <f>CFS!G33</f>
        <v>0</v>
      </c>
      <c r="H9" s="45">
        <f>CFS!H33</f>
        <v>8000</v>
      </c>
      <c r="I9" s="45">
        <f>CFS!I33</f>
        <v>0</v>
      </c>
      <c r="J9" s="45">
        <f>CFS!J33</f>
        <v>0</v>
      </c>
      <c r="K9" s="45">
        <f>CFS!K33</f>
        <v>45000</v>
      </c>
      <c r="L9" s="45">
        <f>CFS!L33</f>
        <v>35000</v>
      </c>
      <c r="M9" s="45">
        <f>CFS!M33</f>
        <v>50000</v>
      </c>
      <c r="N9" s="45">
        <f>CFS!N33</f>
        <v>50000</v>
      </c>
      <c r="O9" s="45">
        <f>CFS!O33</f>
        <v>50000</v>
      </c>
      <c r="P9" s="45">
        <f>CFS!P33</f>
        <v>50000</v>
      </c>
      <c r="Q9" s="45">
        <f>CFS!Q33</f>
        <v>50000</v>
      </c>
      <c r="S9" s="44">
        <f>SUM(B9:L9)</f>
        <v>223170</v>
      </c>
    </row>
    <row r="10" spans="1:19" ht="15" customHeight="1" x14ac:dyDescent="0.2">
      <c r="A10" s="42" t="s">
        <v>689</v>
      </c>
      <c r="B10" s="45">
        <f>CFS!B21+CFS!B22+CFS!B23</f>
        <v>127379</v>
      </c>
      <c r="C10" s="45">
        <f>CFS!C21+CFS!C22+CFS!C23</f>
        <v>145122</v>
      </c>
      <c r="D10" s="45">
        <f>CFS!D21+CFS!D22+CFS!D23</f>
        <v>89601</v>
      </c>
      <c r="E10" s="45">
        <f>CFS!E21+CFS!E22+CFS!E23</f>
        <v>36274</v>
      </c>
      <c r="F10" s="45">
        <f>CFS!F21+CFS!F22+CFS!F23</f>
        <v>31797</v>
      </c>
      <c r="G10" s="45">
        <f>CFS!G21+CFS!G22+CFS!G23</f>
        <v>30314</v>
      </c>
      <c r="H10" s="45">
        <f>CFS!H21+CFS!H22+CFS!H23</f>
        <v>27541</v>
      </c>
      <c r="I10" s="45">
        <f>CFS!I21+CFS!I22+CFS!I23</f>
        <v>25412</v>
      </c>
      <c r="J10" s="45">
        <f>CFS!J21+CFS!J22+CFS!J23</f>
        <v>25552</v>
      </c>
      <c r="K10" s="45">
        <f>CFS!K21+CFS!K22+CFS!K23</f>
        <v>24718</v>
      </c>
      <c r="L10" s="45">
        <f>CFS!L21+CFS!L22+CFS!L23</f>
        <v>21359</v>
      </c>
      <c r="M10" s="45">
        <f>CFS!M21+CFS!M22+CFS!M23</f>
        <v>-50000</v>
      </c>
      <c r="N10" s="45">
        <f>CFS!N21+CFS!N22+CFS!N23</f>
        <v>-27000</v>
      </c>
      <c r="O10" s="45">
        <f>CFS!O21+CFS!O22+CFS!O23</f>
        <v>-54000</v>
      </c>
      <c r="P10" s="45">
        <f>CFS!P21+CFS!P22+CFS!P23</f>
        <v>-56000</v>
      </c>
      <c r="Q10" s="45">
        <f>CFS!Q21+CFS!Q22+CFS!Q23</f>
        <v>-58000</v>
      </c>
      <c r="S10" s="44">
        <f>SUM(B10:L10)</f>
        <v>585069</v>
      </c>
    </row>
    <row r="11" spans="1:19" ht="15" customHeight="1" x14ac:dyDescent="0.2">
      <c r="A11" s="42" t="s">
        <v>690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</row>
    <row r="13" spans="1:19" ht="15" customHeight="1" x14ac:dyDescent="0.2">
      <c r="A13" s="39" t="s">
        <v>691</v>
      </c>
      <c r="B13" s="44">
        <f t="shared" ref="B13:Q13" si="0">B8+B9+B10+B11</f>
        <v>429769</v>
      </c>
      <c r="C13" s="44">
        <f t="shared" si="0"/>
        <v>278809</v>
      </c>
      <c r="D13" s="44">
        <f t="shared" si="0"/>
        <v>196664</v>
      </c>
      <c r="E13" s="44">
        <f t="shared" si="0"/>
        <v>143578</v>
      </c>
      <c r="F13" s="44">
        <f t="shared" si="0"/>
        <v>192540</v>
      </c>
      <c r="G13" s="44">
        <f t="shared" si="0"/>
        <v>171395</v>
      </c>
      <c r="H13" s="44">
        <f t="shared" si="0"/>
        <v>180541</v>
      </c>
      <c r="I13" s="44">
        <f t="shared" si="0"/>
        <v>175412</v>
      </c>
      <c r="J13" s="44">
        <f t="shared" si="0"/>
        <v>205552</v>
      </c>
      <c r="K13" s="44">
        <f t="shared" si="0"/>
        <v>279718</v>
      </c>
      <c r="L13" s="44">
        <f t="shared" si="0"/>
        <v>286359</v>
      </c>
      <c r="M13" s="44">
        <f t="shared" si="0"/>
        <v>246999.18530640006</v>
      </c>
      <c r="N13" s="44">
        <f t="shared" si="0"/>
        <v>288791.45996257965</v>
      </c>
      <c r="O13" s="44">
        <f t="shared" si="0"/>
        <v>283224.20477178949</v>
      </c>
      <c r="P13" s="44">
        <f t="shared" si="0"/>
        <v>300693.27891450166</v>
      </c>
      <c r="Q13" s="44">
        <f t="shared" si="0"/>
        <v>315932.91590286844</v>
      </c>
      <c r="S13" s="44">
        <f>SUM(B13:L13)</f>
        <v>2540337</v>
      </c>
    </row>
    <row r="15" spans="1:19" ht="15" customHeight="1" x14ac:dyDescent="0.2">
      <c r="A15" s="39" t="s">
        <v>692</v>
      </c>
    </row>
    <row r="16" spans="1:19" ht="15" customHeight="1" x14ac:dyDescent="0.2">
      <c r="A16" s="42" t="s">
        <v>693</v>
      </c>
      <c r="B16" s="45">
        <f>-CFS!B35</f>
        <v>88660</v>
      </c>
      <c r="C16" s="45">
        <f>-CFS!C35</f>
        <v>97744</v>
      </c>
      <c r="D16" s="45">
        <f>-CFS!D35</f>
        <v>190203</v>
      </c>
      <c r="E16" s="45">
        <f>-CFS!E35</f>
        <v>117914</v>
      </c>
      <c r="F16" s="45">
        <f>-CFS!F35</f>
        <v>117645</v>
      </c>
      <c r="G16" s="45">
        <f>-CFS!G35</f>
        <v>108653</v>
      </c>
      <c r="H16" s="45">
        <f>-CFS!H35</f>
        <v>121492</v>
      </c>
      <c r="I16" s="45">
        <f>-CFS!I35</f>
        <v>123885</v>
      </c>
      <c r="J16" s="45">
        <f>-CFS!J35</f>
        <v>119012</v>
      </c>
      <c r="K16" s="45">
        <f>-CFS!K35</f>
        <v>124395</v>
      </c>
      <c r="L16" s="45">
        <f>-CFS!L35</f>
        <v>131089</v>
      </c>
      <c r="M16" s="45">
        <f>-CFS!M35</f>
        <v>155099.31111111108</v>
      </c>
      <c r="N16" s="45">
        <f>-CFS!N35</f>
        <v>162528.84</v>
      </c>
      <c r="O16" s="45">
        <f>-CFS!O35</f>
        <v>168800.03555555551</v>
      </c>
      <c r="P16" s="45">
        <f>-CFS!P35</f>
        <v>175149.00888888881</v>
      </c>
      <c r="Q16" s="45">
        <f>-CFS!Q35</f>
        <v>181575.75999999989</v>
      </c>
      <c r="S16" s="44">
        <f t="shared" ref="S16:S22" si="1">SUM(B16:L16)</f>
        <v>1340692</v>
      </c>
    </row>
    <row r="17" spans="1:19" ht="15" customHeight="1" x14ac:dyDescent="0.2">
      <c r="A17" s="42" t="s">
        <v>694</v>
      </c>
      <c r="B17" s="45">
        <f>-CFS!B34</f>
        <v>10650</v>
      </c>
      <c r="C17" s="45">
        <f>-CFS!C34</f>
        <v>6167</v>
      </c>
      <c r="D17" s="45">
        <f>-CFS!D34</f>
        <v>17888</v>
      </c>
      <c r="E17" s="45">
        <f>-CFS!E34</f>
        <v>18884</v>
      </c>
      <c r="F17" s="45">
        <f>-CFS!F34</f>
        <v>30091</v>
      </c>
      <c r="G17" s="45">
        <f>-CFS!G34</f>
        <v>32906</v>
      </c>
      <c r="H17" s="45">
        <f>-CFS!H34</f>
        <v>10511</v>
      </c>
      <c r="I17" s="45">
        <f>-CFS!I34</f>
        <v>17747</v>
      </c>
      <c r="J17" s="45">
        <f>-CFS!J34</f>
        <v>23325</v>
      </c>
      <c r="K17" s="45">
        <f>-CFS!K34</f>
        <v>53719</v>
      </c>
      <c r="L17" s="45">
        <f>-CFS!L34</f>
        <v>41065</v>
      </c>
      <c r="M17" s="45">
        <f>-CFS!M34</f>
        <v>30000</v>
      </c>
      <c r="N17" s="45">
        <f>-CFS!N34</f>
        <v>20000</v>
      </c>
      <c r="O17" s="45">
        <f>-CFS!O34</f>
        <v>15000</v>
      </c>
      <c r="P17" s="45">
        <f>-CFS!P34</f>
        <v>10000</v>
      </c>
      <c r="Q17" s="45">
        <f>-CFS!Q34</f>
        <v>5000</v>
      </c>
      <c r="S17" s="44">
        <f t="shared" si="1"/>
        <v>262953</v>
      </c>
    </row>
    <row r="18" spans="1:19" ht="15" customHeight="1" x14ac:dyDescent="0.2">
      <c r="A18" s="42" t="s">
        <v>663</v>
      </c>
      <c r="B18" s="45">
        <f>-CFS!B32</f>
        <v>3290</v>
      </c>
      <c r="C18" s="45">
        <f>-CFS!C32</f>
        <v>70000</v>
      </c>
      <c r="D18" s="45">
        <f>-CFS!D32</f>
        <v>5000</v>
      </c>
      <c r="E18" s="45">
        <f>-CFS!E32</f>
        <v>15000</v>
      </c>
      <c r="F18" s="45">
        <f>-CFS!F32</f>
        <v>30000</v>
      </c>
      <c r="G18" s="45">
        <f>-CFS!G32</f>
        <v>50000</v>
      </c>
      <c r="H18" s="45">
        <f>-CFS!H32</f>
        <v>5000</v>
      </c>
      <c r="I18" s="45">
        <f>-CFS!I32</f>
        <v>30000</v>
      </c>
      <c r="J18" s="45">
        <f>-CFS!J32</f>
        <v>10000</v>
      </c>
      <c r="K18" s="45">
        <f>-CFS!K32</f>
        <v>40000</v>
      </c>
      <c r="L18" s="45">
        <f>-CFS!L32</f>
        <v>10000</v>
      </c>
      <c r="M18" s="45">
        <f>-CFS!M32</f>
        <v>100000</v>
      </c>
      <c r="N18" s="45">
        <f>-CFS!N32</f>
        <v>150000</v>
      </c>
      <c r="O18" s="45">
        <f>-CFS!O32</f>
        <v>100000</v>
      </c>
      <c r="P18" s="45">
        <f>-CFS!P32</f>
        <v>100000</v>
      </c>
      <c r="Q18" s="45">
        <f>-CFS!Q32</f>
        <v>100000</v>
      </c>
      <c r="S18" s="44">
        <f t="shared" si="1"/>
        <v>268290</v>
      </c>
    </row>
    <row r="19" spans="1:19" ht="15" customHeight="1" x14ac:dyDescent="0.2">
      <c r="A19" s="42" t="s">
        <v>695</v>
      </c>
      <c r="B19" s="45">
        <f>-CFS!B27</f>
        <v>163353</v>
      </c>
      <c r="C19" s="45">
        <f>-CFS!C27</f>
        <v>149537</v>
      </c>
      <c r="D19" s="45">
        <f>-CFS!D27</f>
        <v>104155</v>
      </c>
      <c r="E19" s="45">
        <f>-CFS!E27</f>
        <v>51216</v>
      </c>
      <c r="F19" s="45">
        <f>-CFS!F27</f>
        <v>46456</v>
      </c>
      <c r="G19" s="45">
        <f>-CFS!G27</f>
        <v>46564</v>
      </c>
      <c r="H19" s="45">
        <f>-CFS!H27</f>
        <v>46587</v>
      </c>
      <c r="I19" s="45">
        <f>-CFS!I27</f>
        <v>48631</v>
      </c>
      <c r="J19" s="45">
        <f>-CFS!J27</f>
        <v>52469</v>
      </c>
      <c r="K19" s="45">
        <f>-CFS!K27</f>
        <v>67810</v>
      </c>
      <c r="L19" s="45">
        <f>-CFS!L27</f>
        <v>77219</v>
      </c>
      <c r="M19" s="45">
        <f>-CFS!M27</f>
        <v>95940</v>
      </c>
      <c r="N19" s="45">
        <f>-CFS!N27</f>
        <v>98605</v>
      </c>
      <c r="O19" s="45">
        <f>-CFS!O27</f>
        <v>101270</v>
      </c>
      <c r="P19" s="45">
        <f>-CFS!P27</f>
        <v>103935</v>
      </c>
      <c r="Q19" s="45">
        <f>-CFS!Q27</f>
        <v>106600</v>
      </c>
      <c r="S19" s="44">
        <f t="shared" si="1"/>
        <v>853997</v>
      </c>
    </row>
    <row r="20" spans="1:19" ht="15" customHeight="1" x14ac:dyDescent="0.2">
      <c r="A20" s="42" t="s">
        <v>696</v>
      </c>
      <c r="B20" s="45">
        <f>-CFS!B28</f>
        <v>9025</v>
      </c>
      <c r="C20" s="45">
        <f>-CFS!C28</f>
        <v>8000</v>
      </c>
      <c r="D20" s="45">
        <f>-CFS!D28</f>
        <v>5780</v>
      </c>
      <c r="E20" s="45">
        <f>-CFS!E28</f>
        <v>6519</v>
      </c>
      <c r="F20" s="45">
        <f>-CFS!F28</f>
        <v>6120</v>
      </c>
      <c r="G20" s="45">
        <f>-CFS!G28</f>
        <v>6199</v>
      </c>
      <c r="H20" s="45">
        <f>-CFS!H28</f>
        <v>6906</v>
      </c>
      <c r="I20" s="45">
        <f>-CFS!I28</f>
        <v>7192</v>
      </c>
      <c r="J20" s="45">
        <f>-CFS!J28</f>
        <v>7500</v>
      </c>
      <c r="K20" s="45">
        <f>-CFS!K28</f>
        <v>8000</v>
      </c>
      <c r="L20" s="45">
        <f>-CFS!L28</f>
        <v>8500</v>
      </c>
      <c r="M20" s="45">
        <f>-CFS!M28</f>
        <v>8500</v>
      </c>
      <c r="N20" s="45">
        <f>-CFS!N28</f>
        <v>8500</v>
      </c>
      <c r="O20" s="45">
        <f>-CFS!O28</f>
        <v>8500</v>
      </c>
      <c r="P20" s="45">
        <f>-CFS!P28</f>
        <v>8500</v>
      </c>
      <c r="Q20" s="45">
        <f>-CFS!Q28</f>
        <v>8500</v>
      </c>
      <c r="S20" s="44">
        <f t="shared" si="1"/>
        <v>79741</v>
      </c>
    </row>
    <row r="21" spans="1:19" ht="15" customHeight="1" x14ac:dyDescent="0.2">
      <c r="A21" s="42" t="s">
        <v>697</v>
      </c>
      <c r="B21" s="45">
        <f>-CFS!B26</f>
        <v>37115</v>
      </c>
      <c r="C21" s="45">
        <f>-CFS!C26</f>
        <v>32646</v>
      </c>
      <c r="D21" s="45">
        <f>-CFS!D26</f>
        <v>0</v>
      </c>
      <c r="E21" s="45">
        <f>-CFS!E26</f>
        <v>0</v>
      </c>
      <c r="F21" s="45">
        <f>-CFS!F26</f>
        <v>0</v>
      </c>
      <c r="G21" s="45">
        <f>-CFS!G26</f>
        <v>0</v>
      </c>
      <c r="H21" s="45">
        <f>-CFS!H26</f>
        <v>24049</v>
      </c>
      <c r="I21" s="45">
        <f>-CFS!I26</f>
        <v>21671</v>
      </c>
      <c r="J21" s="45">
        <f>-CFS!J26</f>
        <v>0</v>
      </c>
      <c r="K21" s="45">
        <f>-CFS!K26</f>
        <v>10001</v>
      </c>
      <c r="L21" s="45">
        <f>-CFS!L26</f>
        <v>58321</v>
      </c>
      <c r="M21" s="45">
        <f>-CFS!M26</f>
        <v>0</v>
      </c>
      <c r="N21" s="45">
        <f>-CFS!N26</f>
        <v>0</v>
      </c>
      <c r="O21" s="45">
        <f>-CFS!O26</f>
        <v>0</v>
      </c>
      <c r="P21" s="45">
        <f>-CFS!P26</f>
        <v>0</v>
      </c>
      <c r="Q21" s="45">
        <f>-CFS!Q26</f>
        <v>0</v>
      </c>
      <c r="S21" s="44">
        <f t="shared" si="1"/>
        <v>183803</v>
      </c>
    </row>
    <row r="22" spans="1:19" ht="15" customHeight="1" x14ac:dyDescent="0.2">
      <c r="A22" s="39" t="s">
        <v>698</v>
      </c>
      <c r="B22" s="44">
        <f t="shared" ref="B22:Q22" si="2">B16+B17+B18+B19+B20+B21</f>
        <v>312093</v>
      </c>
      <c r="C22" s="44">
        <f t="shared" si="2"/>
        <v>364094</v>
      </c>
      <c r="D22" s="44">
        <f t="shared" si="2"/>
        <v>323026</v>
      </c>
      <c r="E22" s="44">
        <f t="shared" si="2"/>
        <v>209533</v>
      </c>
      <c r="F22" s="44">
        <f t="shared" si="2"/>
        <v>230312</v>
      </c>
      <c r="G22" s="44">
        <f t="shared" si="2"/>
        <v>244322</v>
      </c>
      <c r="H22" s="44">
        <f t="shared" si="2"/>
        <v>214545</v>
      </c>
      <c r="I22" s="44">
        <f t="shared" si="2"/>
        <v>249126</v>
      </c>
      <c r="J22" s="44">
        <f t="shared" si="2"/>
        <v>212306</v>
      </c>
      <c r="K22" s="44">
        <f t="shared" si="2"/>
        <v>303925</v>
      </c>
      <c r="L22" s="44">
        <f t="shared" si="2"/>
        <v>326194</v>
      </c>
      <c r="M22" s="44">
        <f t="shared" si="2"/>
        <v>389539.31111111108</v>
      </c>
      <c r="N22" s="44">
        <f t="shared" si="2"/>
        <v>439633.83999999997</v>
      </c>
      <c r="O22" s="44">
        <f t="shared" si="2"/>
        <v>393570.03555555549</v>
      </c>
      <c r="P22" s="44">
        <f t="shared" si="2"/>
        <v>397584.00888888881</v>
      </c>
      <c r="Q22" s="44">
        <f t="shared" si="2"/>
        <v>401675.75999999989</v>
      </c>
      <c r="S22" s="44">
        <f t="shared" si="1"/>
        <v>2989476</v>
      </c>
    </row>
    <row r="24" spans="1:19" ht="15" customHeight="1" x14ac:dyDescent="0.2">
      <c r="A24" s="42" t="s">
        <v>699</v>
      </c>
      <c r="B24" s="44">
        <f t="shared" ref="B24:Q24" si="3">B13-B22</f>
        <v>117676</v>
      </c>
      <c r="C24" s="44">
        <f t="shared" si="3"/>
        <v>-85285</v>
      </c>
      <c r="D24" s="44">
        <f t="shared" si="3"/>
        <v>-126362</v>
      </c>
      <c r="E24" s="44">
        <f t="shared" si="3"/>
        <v>-65955</v>
      </c>
      <c r="F24" s="44">
        <f t="shared" si="3"/>
        <v>-37772</v>
      </c>
      <c r="G24" s="44">
        <f t="shared" si="3"/>
        <v>-72927</v>
      </c>
      <c r="H24" s="44">
        <f t="shared" si="3"/>
        <v>-34004</v>
      </c>
      <c r="I24" s="44">
        <f t="shared" si="3"/>
        <v>-73714</v>
      </c>
      <c r="J24" s="44">
        <f t="shared" si="3"/>
        <v>-6754</v>
      </c>
      <c r="K24" s="44">
        <f t="shared" si="3"/>
        <v>-24207</v>
      </c>
      <c r="L24" s="44">
        <f t="shared" si="3"/>
        <v>-39835</v>
      </c>
      <c r="M24" s="44">
        <f t="shared" si="3"/>
        <v>-142540.12580471102</v>
      </c>
      <c r="N24" s="44">
        <f t="shared" si="3"/>
        <v>-150842.38003742031</v>
      </c>
      <c r="O24" s="44">
        <f t="shared" si="3"/>
        <v>-110345.830783766</v>
      </c>
      <c r="P24" s="44">
        <f t="shared" si="3"/>
        <v>-96890.729974387155</v>
      </c>
      <c r="Q24" s="44">
        <f t="shared" si="3"/>
        <v>-85742.844097131456</v>
      </c>
      <c r="S24" s="44">
        <f>SUM(B24:L24)</f>
        <v>-449139</v>
      </c>
    </row>
    <row r="26" spans="1:19" ht="15" customHeight="1" x14ac:dyDescent="0.2">
      <c r="A26" s="42" t="s">
        <v>700</v>
      </c>
      <c r="B26" s="49">
        <f t="shared" ref="B26:Q26" si="4">IF(B13&lt;&gt;0,B16/B13,0)</f>
        <v>0.20629687110982878</v>
      </c>
      <c r="C26" s="49">
        <f t="shared" si="4"/>
        <v>0.35057691824869353</v>
      </c>
      <c r="D26" s="49">
        <f t="shared" si="4"/>
        <v>0.9671470121628768</v>
      </c>
      <c r="E26" s="49">
        <f t="shared" si="4"/>
        <v>0.82125395255540545</v>
      </c>
      <c r="F26" s="49">
        <f t="shared" si="4"/>
        <v>0.61101589280149582</v>
      </c>
      <c r="G26" s="49">
        <f t="shared" si="4"/>
        <v>0.63393331194025493</v>
      </c>
      <c r="H26" s="49">
        <f t="shared" si="4"/>
        <v>0.67293301798483451</v>
      </c>
      <c r="I26" s="49">
        <f t="shared" si="4"/>
        <v>0.70625156773766906</v>
      </c>
      <c r="J26" s="49">
        <f t="shared" si="4"/>
        <v>0.57898731221296795</v>
      </c>
      <c r="K26" s="49">
        <f t="shared" si="4"/>
        <v>0.4447157494333579</v>
      </c>
      <c r="L26" s="49">
        <f t="shared" si="4"/>
        <v>0.45777852276338443</v>
      </c>
      <c r="M26" s="49">
        <f t="shared" si="4"/>
        <v>0.62793450479892032</v>
      </c>
      <c r="N26" s="49">
        <f t="shared" si="4"/>
        <v>0.56278963381070823</v>
      </c>
      <c r="O26" s="49">
        <f t="shared" si="4"/>
        <v>0.59599438434849772</v>
      </c>
      <c r="P26" s="49">
        <f t="shared" si="4"/>
        <v>0.58248395016068921</v>
      </c>
      <c r="Q26" s="49">
        <f t="shared" si="4"/>
        <v>0.57472884546105418</v>
      </c>
    </row>
    <row r="27" spans="1:19" ht="15" customHeight="1" x14ac:dyDescent="0.2">
      <c r="A27" s="42" t="s">
        <v>701</v>
      </c>
      <c r="B27" s="49">
        <f t="shared" ref="B27:Q27" si="5">IF(B13&lt;&gt;0,B19/B13,0)</f>
        <v>0.38009488818411752</v>
      </c>
      <c r="C27" s="49">
        <f t="shared" si="5"/>
        <v>0.53634208364866276</v>
      </c>
      <c r="D27" s="49">
        <f t="shared" si="5"/>
        <v>0.52960887605255669</v>
      </c>
      <c r="E27" s="49">
        <f t="shared" si="5"/>
        <v>0.35671203109111421</v>
      </c>
      <c r="F27" s="49">
        <f t="shared" si="5"/>
        <v>0.24127973408122988</v>
      </c>
      <c r="G27" s="49">
        <f t="shared" si="5"/>
        <v>0.27167653665509495</v>
      </c>
      <c r="H27" s="49">
        <f t="shared" si="5"/>
        <v>0.25804110977561884</v>
      </c>
      <c r="I27" s="49">
        <f t="shared" si="5"/>
        <v>0.27723872939137573</v>
      </c>
      <c r="J27" s="49">
        <f t="shared" si="5"/>
        <v>0.25525900988557643</v>
      </c>
      <c r="K27" s="49">
        <f t="shared" si="5"/>
        <v>0.24242272574521481</v>
      </c>
      <c r="L27" s="49">
        <f t="shared" si="5"/>
        <v>0.2696580166853495</v>
      </c>
      <c r="M27" s="49">
        <f t="shared" si="5"/>
        <v>0.38842233378619195</v>
      </c>
      <c r="N27" s="49">
        <f t="shared" si="5"/>
        <v>0.34144015204873718</v>
      </c>
      <c r="O27" s="49">
        <f t="shared" si="5"/>
        <v>0.35756124756921548</v>
      </c>
      <c r="P27" s="49">
        <f t="shared" si="5"/>
        <v>0.34565122431470313</v>
      </c>
      <c r="Q27" s="49">
        <f t="shared" si="5"/>
        <v>0.33741340213114573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91"/>
  <sheetViews>
    <sheetView zoomScaleNormal="100" workbookViewId="0"/>
  </sheetViews>
  <sheetFormatPr baseColWidth="10" defaultColWidth="8.6640625" defaultRowHeight="15" x14ac:dyDescent="0.2"/>
  <cols>
    <col min="1" max="1" width="44" customWidth="1"/>
    <col min="2" max="19" width="13" customWidth="1"/>
  </cols>
  <sheetData>
    <row r="1" spans="1:17" ht="15" customHeight="1" x14ac:dyDescent="0.2">
      <c r="A1" s="38" t="s">
        <v>0</v>
      </c>
    </row>
    <row r="2" spans="1:17" ht="15" customHeight="1" x14ac:dyDescent="0.2">
      <c r="A2" s="39" t="s">
        <v>702</v>
      </c>
    </row>
    <row r="3" spans="1:17" ht="15" customHeight="1" x14ac:dyDescent="0.2">
      <c r="A3" s="40" t="s">
        <v>153</v>
      </c>
    </row>
    <row r="5" spans="1:17" ht="15" customHeight="1" x14ac:dyDescent="0.2">
      <c r="B5" s="41" t="s">
        <v>250</v>
      </c>
      <c r="C5" s="41" t="s">
        <v>251</v>
      </c>
      <c r="D5" s="41" t="s">
        <v>252</v>
      </c>
      <c r="E5" s="41" t="s">
        <v>253</v>
      </c>
      <c r="F5" s="41" t="s">
        <v>254</v>
      </c>
      <c r="G5" s="41" t="s">
        <v>255</v>
      </c>
      <c r="H5" s="41" t="s">
        <v>256</v>
      </c>
      <c r="I5" s="41" t="s">
        <v>257</v>
      </c>
      <c r="J5" s="41" t="s">
        <v>258</v>
      </c>
      <c r="K5" s="41" t="s">
        <v>259</v>
      </c>
      <c r="L5" s="41" t="s">
        <v>260</v>
      </c>
      <c r="M5" s="41" t="s">
        <v>3</v>
      </c>
      <c r="N5" s="41" t="s">
        <v>4</v>
      </c>
      <c r="O5" s="41" t="s">
        <v>5</v>
      </c>
      <c r="P5" s="41" t="s">
        <v>6</v>
      </c>
      <c r="Q5" s="41" t="s">
        <v>7</v>
      </c>
    </row>
    <row r="7" spans="1:17" ht="15" customHeight="1" x14ac:dyDescent="0.2">
      <c r="A7" s="39" t="s">
        <v>162</v>
      </c>
    </row>
    <row r="8" spans="1:17" ht="15" customHeight="1" x14ac:dyDescent="0.2">
      <c r="A8" s="42" t="s">
        <v>703</v>
      </c>
      <c r="H8" s="54">
        <v>4.7500000000000001E-2</v>
      </c>
      <c r="I8" s="42" t="s">
        <v>463</v>
      </c>
      <c r="J8" s="54">
        <v>0.03</v>
      </c>
    </row>
    <row r="9" spans="1:17" ht="15" customHeight="1" x14ac:dyDescent="0.2">
      <c r="A9" s="42" t="s">
        <v>704</v>
      </c>
      <c r="L9" s="45">
        <f>IS!L20</f>
        <v>417561</v>
      </c>
    </row>
    <row r="10" spans="1:17" ht="15" customHeight="1" x14ac:dyDescent="0.2">
      <c r="A10" s="42" t="s">
        <v>705</v>
      </c>
      <c r="L10" s="44">
        <f>IF(H8&lt;&gt;0,L9/H8,0)</f>
        <v>8790757.8947368413</v>
      </c>
    </row>
    <row r="12" spans="1:17" ht="15" customHeight="1" x14ac:dyDescent="0.2">
      <c r="A12" s="39" t="s">
        <v>706</v>
      </c>
    </row>
    <row r="13" spans="1:17" ht="15" customHeight="1" x14ac:dyDescent="0.2">
      <c r="A13" s="42" t="s">
        <v>705</v>
      </c>
      <c r="L13" s="44">
        <f>L10</f>
        <v>8790757.8947368413</v>
      </c>
    </row>
    <row r="14" spans="1:17" ht="15" customHeight="1" x14ac:dyDescent="0.2">
      <c r="A14" s="42" t="s">
        <v>707</v>
      </c>
      <c r="L14" s="45">
        <f>BS!L18</f>
        <v>65000</v>
      </c>
    </row>
    <row r="15" spans="1:17" ht="15" customHeight="1" x14ac:dyDescent="0.2">
      <c r="A15" s="42" t="s">
        <v>708</v>
      </c>
      <c r="L15" s="45">
        <f>-BS!L49</f>
        <v>-3490395</v>
      </c>
    </row>
    <row r="16" spans="1:17" ht="15" customHeight="1" x14ac:dyDescent="0.2">
      <c r="A16" s="42" t="s">
        <v>709</v>
      </c>
      <c r="L16" s="45">
        <f>-BS!L30</f>
        <v>-301000</v>
      </c>
    </row>
    <row r="17" spans="1:12" ht="15" customHeight="1" x14ac:dyDescent="0.2">
      <c r="A17" s="42" t="s">
        <v>710</v>
      </c>
      <c r="L17" s="43">
        <v>-78500</v>
      </c>
    </row>
    <row r="18" spans="1:12" ht="15" customHeight="1" x14ac:dyDescent="0.2">
      <c r="A18" s="39" t="s">
        <v>171</v>
      </c>
      <c r="L18" s="44">
        <f>SUM(L13:L17)</f>
        <v>4985862.8947368413</v>
      </c>
    </row>
    <row r="19" spans="1:12" ht="15" customHeight="1" x14ac:dyDescent="0.2">
      <c r="A19" s="42" t="s">
        <v>172</v>
      </c>
      <c r="L19" s="55">
        <f>IF(BS!L53&lt;&gt;0,L18/BS!L53,0)</f>
        <v>111.35123491908257</v>
      </c>
    </row>
    <row r="20" spans="1:12" ht="15" customHeight="1" x14ac:dyDescent="0.2">
      <c r="A20" s="42" t="s">
        <v>711</v>
      </c>
      <c r="L20" s="56">
        <v>62</v>
      </c>
    </row>
    <row r="21" spans="1:12" ht="15" customHeight="1" x14ac:dyDescent="0.2">
      <c r="A21" s="42" t="s">
        <v>712</v>
      </c>
      <c r="L21" s="49">
        <f>IF(L19&lt;&gt;0,L20/L19-1,0)</f>
        <v>-0.44320330129203722</v>
      </c>
    </row>
    <row r="25" spans="1:12" ht="15" customHeight="1" x14ac:dyDescent="0.2">
      <c r="A25" s="39" t="s">
        <v>713</v>
      </c>
    </row>
    <row r="26" spans="1:12" ht="15" customHeight="1" x14ac:dyDescent="0.2">
      <c r="A26" s="42" t="s">
        <v>112</v>
      </c>
      <c r="L26" s="57">
        <f>L20</f>
        <v>62</v>
      </c>
    </row>
    <row r="27" spans="1:12" ht="15" customHeight="1" x14ac:dyDescent="0.2">
      <c r="A27" s="42" t="s">
        <v>172</v>
      </c>
      <c r="L27" s="57">
        <f>L19</f>
        <v>111.35123491908257</v>
      </c>
    </row>
    <row r="28" spans="1:12" ht="15" customHeight="1" x14ac:dyDescent="0.2">
      <c r="A28" s="42" t="s">
        <v>714</v>
      </c>
      <c r="L28" s="49">
        <f>IF(L27&lt;&gt;0,L26/L27-1,0)</f>
        <v>-0.44320330129203722</v>
      </c>
    </row>
    <row r="29" spans="1:12" ht="15" customHeight="1" x14ac:dyDescent="0.2">
      <c r="A29" s="42" t="s">
        <v>715</v>
      </c>
      <c r="L29" s="57">
        <f>IF(L26&lt;&gt;0,L27/L26,0)</f>
        <v>1.7959876599852027</v>
      </c>
    </row>
    <row r="30" spans="1:12" ht="15" customHeight="1" x14ac:dyDescent="0.2">
      <c r="A30" s="40" t="s">
        <v>716</v>
      </c>
    </row>
    <row r="35" spans="1:12" ht="15" customHeight="1" x14ac:dyDescent="0.2">
      <c r="A35" s="39" t="s">
        <v>717</v>
      </c>
    </row>
    <row r="36" spans="1:12" ht="15" customHeight="1" x14ac:dyDescent="0.2">
      <c r="A36" s="40" t="s">
        <v>718</v>
      </c>
    </row>
    <row r="37" spans="1:12" ht="15" customHeight="1" x14ac:dyDescent="0.2">
      <c r="A37" s="42" t="s">
        <v>719</v>
      </c>
      <c r="L37" s="45">
        <f>Assumptions!B103</f>
        <v>-142540.12580471102</v>
      </c>
    </row>
    <row r="38" spans="1:12" ht="15" customHeight="1" x14ac:dyDescent="0.2">
      <c r="A38" s="42" t="s">
        <v>720</v>
      </c>
      <c r="L38" s="44">
        <f>IF(L20&lt;&gt;0,MAX(L37,0)/L20,0)</f>
        <v>0</v>
      </c>
    </row>
    <row r="39" spans="1:12" ht="15" customHeight="1" x14ac:dyDescent="0.2">
      <c r="A39" s="42" t="s">
        <v>721</v>
      </c>
      <c r="L39" s="45">
        <f>BS!L53-L38</f>
        <v>44776</v>
      </c>
    </row>
    <row r="40" spans="1:12" ht="15" customHeight="1" x14ac:dyDescent="0.2">
      <c r="A40" s="42" t="s">
        <v>722</v>
      </c>
      <c r="L40" s="55">
        <f>FFO_AFFO!L29</f>
        <v>3.9988716714307206</v>
      </c>
    </row>
    <row r="45" spans="1:12" ht="15" customHeight="1" x14ac:dyDescent="0.2">
      <c r="A45" s="39" t="s">
        <v>723</v>
      </c>
    </row>
    <row r="46" spans="1:12" ht="15" customHeight="1" x14ac:dyDescent="0.2">
      <c r="A46" s="40" t="s">
        <v>724</v>
      </c>
    </row>
    <row r="47" spans="1:12" ht="15" customHeight="1" x14ac:dyDescent="0.2">
      <c r="B47" s="53" t="s">
        <v>725</v>
      </c>
      <c r="C47" s="53" t="s">
        <v>726</v>
      </c>
      <c r="D47" s="53" t="s">
        <v>727</v>
      </c>
      <c r="E47" s="53" t="s">
        <v>728</v>
      </c>
      <c r="F47" s="53" t="s">
        <v>729</v>
      </c>
      <c r="G47" s="53" t="s">
        <v>730</v>
      </c>
    </row>
    <row r="48" spans="1:12" ht="15" customHeight="1" x14ac:dyDescent="0.2">
      <c r="A48" s="58">
        <v>5.5E-2</v>
      </c>
      <c r="C48" s="57">
        <f>IF((L18-MAX(L37,0)*0/L20)&lt;&gt;0,FFO_AFFO!L28/(BS!L53-MAX(L37,0)*0/L20),0)</f>
        <v>4.7490619974986599</v>
      </c>
      <c r="D48" s="57">
        <f>IF((L18-MAX(L37,0)*0.25/L20)&lt;&gt;0,FFO_AFFO!L28/(BS!L53-MAX(L37,0)*0.25/L20),0)</f>
        <v>4.7490619974986599</v>
      </c>
      <c r="E48" s="57">
        <f>IF((L18-MAX(L37,0)*0.5/L20)&lt;&gt;0,FFO_AFFO!L28/(BS!L53-MAX(L37,0)*0.5/L20),0)</f>
        <v>4.7490619974986599</v>
      </c>
      <c r="F48" s="57">
        <f>IF((L18-MAX(L37,0)*0.75/L20)&lt;&gt;0,FFO_AFFO!L28/(BS!L53-MAX(L37,0)*0.75/L20),0)</f>
        <v>4.7490619974986599</v>
      </c>
      <c r="G48" s="57">
        <f>IF((L18-MAX(L37,0)*1/L20)&lt;&gt;0,FFO_AFFO!L28/(BS!L53-MAX(L37,0)*1/L20),0)</f>
        <v>4.7490619974986599</v>
      </c>
    </row>
    <row r="49" spans="1:7" ht="15" customHeight="1" x14ac:dyDescent="0.2">
      <c r="A49" s="58">
        <v>0.05</v>
      </c>
      <c r="C49" s="57">
        <f>IF((L18-MAX(L37,0)*0/L20)&lt;&gt;0,FFO_AFFO!L28/(BS!L53-MAX(L37,0)*0/L20),0)</f>
        <v>4.7490619974986599</v>
      </c>
      <c r="D49" s="57">
        <f>IF((L18-MAX(L37,0)*0.25/L20)&lt;&gt;0,FFO_AFFO!L28/(BS!L53-MAX(L37,0)*0.25/L20),0)</f>
        <v>4.7490619974986599</v>
      </c>
      <c r="E49" s="57">
        <f>IF((L18-MAX(L37,0)*0.5/L20)&lt;&gt;0,FFO_AFFO!L28/(BS!L53-MAX(L37,0)*0.5/L20),0)</f>
        <v>4.7490619974986599</v>
      </c>
      <c r="F49" s="57">
        <f>IF((L18-MAX(L37,0)*0.75/L20)&lt;&gt;0,FFO_AFFO!L28/(BS!L53-MAX(L37,0)*0.75/L20),0)</f>
        <v>4.7490619974986599</v>
      </c>
      <c r="G49" s="57">
        <f>IF((L18-MAX(L37,0)*1/L20)&lt;&gt;0,FFO_AFFO!L28/(BS!L53-MAX(L37,0)*1/L20),0)</f>
        <v>4.7490619974986599</v>
      </c>
    </row>
    <row r="50" spans="1:7" ht="15" customHeight="1" x14ac:dyDescent="0.2">
      <c r="A50" s="58">
        <v>4.7500000000000001E-2</v>
      </c>
      <c r="C50" s="57">
        <f>IF((L18-MAX(L37,0)*0/L20)&lt;&gt;0,FFO_AFFO!L28/(BS!L53-MAX(L37,0)*0/L20),0)</f>
        <v>4.7490619974986599</v>
      </c>
      <c r="D50" s="57">
        <f>IF((L18-MAX(L37,0)*0.25/L20)&lt;&gt;0,FFO_AFFO!L28/(BS!L53-MAX(L37,0)*0.25/L20),0)</f>
        <v>4.7490619974986599</v>
      </c>
      <c r="E50" s="57">
        <f>IF((L18-MAX(L37,0)*0.5/L20)&lt;&gt;0,FFO_AFFO!L28/(BS!L53-MAX(L37,0)*0.5/L20),0)</f>
        <v>4.7490619974986599</v>
      </c>
      <c r="F50" s="57">
        <f>IF((L18-MAX(L37,0)*0.75/L20)&lt;&gt;0,FFO_AFFO!L28/(BS!L53-MAX(L37,0)*0.75/L20),0)</f>
        <v>4.7490619974986599</v>
      </c>
      <c r="G50" s="57">
        <f>IF((L18-MAX(L37,0)*1/L20)&lt;&gt;0,FFO_AFFO!L28/(BS!L53-MAX(L37,0)*1/L20),0)</f>
        <v>4.7490619974986599</v>
      </c>
    </row>
    <row r="51" spans="1:7" ht="15" customHeight="1" x14ac:dyDescent="0.2">
      <c r="A51" s="58">
        <v>4.4999999999999998E-2</v>
      </c>
      <c r="C51" s="57">
        <f>IF((L18-MAX(L37,0)*0/L20)&lt;&gt;0,FFO_AFFO!L28/(BS!L53-MAX(L37,0)*0/L20),0)</f>
        <v>4.7490619974986599</v>
      </c>
      <c r="D51" s="57">
        <f>IF((L18-MAX(L37,0)*0.25/L20)&lt;&gt;0,FFO_AFFO!L28/(BS!L53-MAX(L37,0)*0.25/L20),0)</f>
        <v>4.7490619974986599</v>
      </c>
      <c r="E51" s="57">
        <f>IF((L18-MAX(L37,0)*0.5/L20)&lt;&gt;0,FFO_AFFO!L28/(BS!L53-MAX(L37,0)*0.5/L20),0)</f>
        <v>4.7490619974986599</v>
      </c>
      <c r="F51" s="57">
        <f>IF((L18-MAX(L37,0)*0.75/L20)&lt;&gt;0,FFO_AFFO!L28/(BS!L53-MAX(L37,0)*0.75/L20),0)</f>
        <v>4.7490619974986599</v>
      </c>
      <c r="G51" s="57">
        <f>IF((L18-MAX(L37,0)*1/L20)&lt;&gt;0,FFO_AFFO!L28/(BS!L53-MAX(L37,0)*1/L20),0)</f>
        <v>4.7490619974986599</v>
      </c>
    </row>
    <row r="52" spans="1:7" ht="15" customHeight="1" x14ac:dyDescent="0.2">
      <c r="A52" s="58">
        <v>0.04</v>
      </c>
      <c r="C52" s="57">
        <f>IF((L18-MAX(L37,0)*0/L20)&lt;&gt;0,FFO_AFFO!L28/(BS!L53-MAX(L37,0)*0/L20),0)</f>
        <v>4.7490619974986599</v>
      </c>
      <c r="D52" s="57">
        <f>IF((L18-MAX(L37,0)*0.25/L20)&lt;&gt;0,FFO_AFFO!L28/(BS!L53-MAX(L37,0)*0.25/L20),0)</f>
        <v>4.7490619974986599</v>
      </c>
      <c r="E52" s="57">
        <f>IF((L18-MAX(L37,0)*0.5/L20)&lt;&gt;0,FFO_AFFO!L28/(BS!L53-MAX(L37,0)*0.5/L20),0)</f>
        <v>4.7490619974986599</v>
      </c>
      <c r="F52" s="57">
        <f>IF((L18-MAX(L37,0)*0.75/L20)&lt;&gt;0,FFO_AFFO!L28/(BS!L53-MAX(L37,0)*0.75/L20),0)</f>
        <v>4.7490619974986599</v>
      </c>
      <c r="G52" s="57">
        <f>IF((L18-MAX(L37,0)*1/L20)&lt;&gt;0,FFO_AFFO!L28/(BS!L53-MAX(L37,0)*1/L20),0)</f>
        <v>4.7490619974986599</v>
      </c>
    </row>
    <row r="56" spans="1:7" ht="15" customHeight="1" x14ac:dyDescent="0.2">
      <c r="A56" s="39" t="s">
        <v>731</v>
      </c>
    </row>
    <row r="57" spans="1:7" ht="15" customHeight="1" x14ac:dyDescent="0.2">
      <c r="A57" s="40" t="s">
        <v>732</v>
      </c>
    </row>
    <row r="59" spans="1:7" ht="15" customHeight="1" x14ac:dyDescent="0.2">
      <c r="A59" s="42" t="s">
        <v>733</v>
      </c>
      <c r="B59" s="59">
        <v>200000</v>
      </c>
    </row>
    <row r="60" spans="1:7" ht="15" customHeight="1" x14ac:dyDescent="0.2">
      <c r="A60" s="42" t="s">
        <v>734</v>
      </c>
      <c r="B60" s="54">
        <v>0.05</v>
      </c>
    </row>
    <row r="61" spans="1:7" ht="15" customHeight="1" x14ac:dyDescent="0.2">
      <c r="A61" s="42" t="s">
        <v>735</v>
      </c>
      <c r="B61" s="44">
        <f>B59*B60</f>
        <v>10000</v>
      </c>
    </row>
    <row r="62" spans="1:7" ht="15" customHeight="1" x14ac:dyDescent="0.2">
      <c r="A62" s="42" t="s">
        <v>736</v>
      </c>
      <c r="B62" s="44">
        <f>B59*0.4</f>
        <v>80000</v>
      </c>
    </row>
    <row r="63" spans="1:7" ht="15" customHeight="1" x14ac:dyDescent="0.2">
      <c r="A63" s="42" t="s">
        <v>737</v>
      </c>
      <c r="B63" s="44">
        <f>B59-B62</f>
        <v>120000</v>
      </c>
    </row>
    <row r="64" spans="1:7" ht="15" customHeight="1" x14ac:dyDescent="0.2">
      <c r="A64" s="42" t="s">
        <v>720</v>
      </c>
      <c r="B64" s="44">
        <f>IF(L20&lt;&gt;0,B63/L20,0)</f>
        <v>1935.483870967742</v>
      </c>
    </row>
    <row r="65" spans="1:17" ht="15" customHeight="1" x14ac:dyDescent="0.2">
      <c r="A65" s="42" t="s">
        <v>738</v>
      </c>
      <c r="B65" s="45">
        <f>B62*Ops!L26</f>
        <v>2680</v>
      </c>
    </row>
    <row r="66" spans="1:17" ht="15" customHeight="1" x14ac:dyDescent="0.2">
      <c r="A66" s="42" t="s">
        <v>739</v>
      </c>
      <c r="B66" s="44">
        <f>-B61+B65</f>
        <v>-7320</v>
      </c>
    </row>
    <row r="67" spans="1:17" ht="15" customHeight="1" x14ac:dyDescent="0.2">
      <c r="A67" s="42" t="s">
        <v>740</v>
      </c>
      <c r="B67" s="45">
        <f>BS!L53</f>
        <v>44776</v>
      </c>
    </row>
    <row r="68" spans="1:17" ht="15" customHeight="1" x14ac:dyDescent="0.2">
      <c r="A68" s="42" t="s">
        <v>741</v>
      </c>
      <c r="B68" s="44">
        <f>B67-B64</f>
        <v>42840.516129032258</v>
      </c>
    </row>
    <row r="69" spans="1:17" ht="15" customHeight="1" x14ac:dyDescent="0.2">
      <c r="A69" s="42" t="s">
        <v>742</v>
      </c>
      <c r="B69" s="45">
        <f>FFO_AFFO!L28</f>
        <v>212644</v>
      </c>
    </row>
    <row r="70" spans="1:17" ht="15" customHeight="1" x14ac:dyDescent="0.2">
      <c r="A70" s="42" t="s">
        <v>743</v>
      </c>
      <c r="B70" s="44">
        <f>B69+B66</f>
        <v>205324</v>
      </c>
    </row>
    <row r="71" spans="1:17" ht="15" customHeight="1" x14ac:dyDescent="0.2">
      <c r="A71" s="42" t="s">
        <v>744</v>
      </c>
      <c r="B71" s="57">
        <f>IF(B67&lt;&gt;0,B69/B67,0)</f>
        <v>4.7490619974986599</v>
      </c>
    </row>
    <row r="72" spans="1:17" ht="15" customHeight="1" x14ac:dyDescent="0.2">
      <c r="A72" s="42" t="s">
        <v>745</v>
      </c>
      <c r="B72" s="57">
        <f>IF(B68&lt;&gt;0,B70/B68,0)</f>
        <v>4.7927527152469471</v>
      </c>
    </row>
    <row r="73" spans="1:17" ht="15" customHeight="1" x14ac:dyDescent="0.2">
      <c r="A73" s="42" t="s">
        <v>746</v>
      </c>
      <c r="B73" s="57">
        <f>B72-B71</f>
        <v>4.3690717748287256E-2</v>
      </c>
    </row>
    <row r="74" spans="1:17" ht="15" customHeight="1" x14ac:dyDescent="0.2">
      <c r="A74" s="42" t="s">
        <v>747</v>
      </c>
      <c r="B74" s="49">
        <f>IF(B71&lt;&gt;0,B73/B71,0)</f>
        <v>9.1998625773466926E-3</v>
      </c>
    </row>
    <row r="78" spans="1:17" ht="15" customHeight="1" x14ac:dyDescent="0.2">
      <c r="A78" s="39" t="s">
        <v>748</v>
      </c>
    </row>
    <row r="79" spans="1:17" ht="15" customHeight="1" x14ac:dyDescent="0.2">
      <c r="A79" s="42" t="s">
        <v>165</v>
      </c>
      <c r="B79" s="45">
        <f>IS!B20</f>
        <v>294702</v>
      </c>
      <c r="C79" s="45">
        <f>IS!C20</f>
        <v>253099</v>
      </c>
      <c r="D79" s="45">
        <f>IS!D20</f>
        <v>216083</v>
      </c>
      <c r="E79" s="45">
        <f>IS!E20</f>
        <v>226032</v>
      </c>
      <c r="F79" s="45">
        <f>IS!F20</f>
        <v>258793</v>
      </c>
      <c r="G79" s="45">
        <f>IS!G20</f>
        <v>269144</v>
      </c>
      <c r="H79" s="45">
        <f>IS!H20</f>
        <v>274340</v>
      </c>
      <c r="I79" s="45">
        <f>IS!I20</f>
        <v>287320</v>
      </c>
      <c r="J79" s="45">
        <f>IS!J20</f>
        <v>332989</v>
      </c>
      <c r="K79" s="45">
        <f>IS!K20</f>
        <v>382334</v>
      </c>
      <c r="L79" s="45">
        <f>IS!L20</f>
        <v>417561</v>
      </c>
      <c r="M79" s="45">
        <f>IS!M20</f>
        <v>432769.87044810236</v>
      </c>
      <c r="N79" s="45">
        <f>IS!N20</f>
        <v>455126.51169927896</v>
      </c>
      <c r="O79" s="45">
        <f>IS!O20</f>
        <v>476362.87678193656</v>
      </c>
      <c r="P79" s="45">
        <f>IS!P20</f>
        <v>494896.63562157331</v>
      </c>
      <c r="Q79" s="45">
        <f>IS!Q20</f>
        <v>510839.88222043857</v>
      </c>
    </row>
    <row r="80" spans="1:17" ht="15" customHeight="1" x14ac:dyDescent="0.2">
      <c r="A80" s="42" t="s">
        <v>749</v>
      </c>
      <c r="B80" s="54">
        <v>0.05</v>
      </c>
      <c r="C80" s="54">
        <v>0.05</v>
      </c>
      <c r="D80" s="54">
        <v>0.05</v>
      </c>
      <c r="E80" s="54">
        <v>0.05</v>
      </c>
      <c r="F80" s="54">
        <v>0.05</v>
      </c>
      <c r="G80" s="54">
        <v>0.05</v>
      </c>
      <c r="H80" s="54">
        <v>0.05</v>
      </c>
      <c r="I80" s="54">
        <v>0.05</v>
      </c>
      <c r="J80" s="54">
        <v>0.05</v>
      </c>
      <c r="K80" s="54">
        <v>0.05</v>
      </c>
      <c r="L80" s="54">
        <v>0.05</v>
      </c>
      <c r="M80" s="54">
        <v>0.05</v>
      </c>
      <c r="N80" s="54">
        <v>0.05</v>
      </c>
      <c r="O80" s="54">
        <v>0.05</v>
      </c>
      <c r="P80" s="54">
        <v>0.05</v>
      </c>
      <c r="Q80" s="54">
        <v>0.05</v>
      </c>
    </row>
    <row r="81" spans="1:17" ht="15" customHeight="1" x14ac:dyDescent="0.2">
      <c r="A81" s="42" t="s">
        <v>166</v>
      </c>
      <c r="B81" s="44">
        <f t="shared" ref="B81:Q81" si="0">IF(B80&lt;&gt;0,B79/B80,0)</f>
        <v>5894040</v>
      </c>
      <c r="C81" s="44">
        <f t="shared" si="0"/>
        <v>5061980</v>
      </c>
      <c r="D81" s="44">
        <f t="shared" si="0"/>
        <v>4321660</v>
      </c>
      <c r="E81" s="44">
        <f t="shared" si="0"/>
        <v>4520640</v>
      </c>
      <c r="F81" s="44">
        <f t="shared" si="0"/>
        <v>5175860</v>
      </c>
      <c r="G81" s="44">
        <f t="shared" si="0"/>
        <v>5382880</v>
      </c>
      <c r="H81" s="44">
        <f t="shared" si="0"/>
        <v>5486800</v>
      </c>
      <c r="I81" s="44">
        <f t="shared" si="0"/>
        <v>5746400</v>
      </c>
      <c r="J81" s="44">
        <f t="shared" si="0"/>
        <v>6659780</v>
      </c>
      <c r="K81" s="44">
        <f t="shared" si="0"/>
        <v>7646680</v>
      </c>
      <c r="L81" s="44">
        <f t="shared" si="0"/>
        <v>8351220</v>
      </c>
      <c r="M81" s="44">
        <f t="shared" si="0"/>
        <v>8655397.4089620467</v>
      </c>
      <c r="N81" s="44">
        <f t="shared" si="0"/>
        <v>9102530.2339855786</v>
      </c>
      <c r="O81" s="44">
        <f t="shared" si="0"/>
        <v>9527257.535638731</v>
      </c>
      <c r="P81" s="44">
        <f t="shared" si="0"/>
        <v>9897932.7124314662</v>
      </c>
      <c r="Q81" s="44">
        <f t="shared" si="0"/>
        <v>10216797.64440877</v>
      </c>
    </row>
    <row r="82" spans="1:17" ht="15" customHeight="1" x14ac:dyDescent="0.2">
      <c r="A82" s="42" t="s">
        <v>750</v>
      </c>
      <c r="B82" s="45">
        <f>BS!B18</f>
        <v>264032</v>
      </c>
      <c r="C82" s="45">
        <f>BS!C18</f>
        <v>124604</v>
      </c>
      <c r="D82" s="45">
        <f>BS!D18</f>
        <v>94052</v>
      </c>
      <c r="E82" s="45">
        <f>BS!E18</f>
        <v>65456</v>
      </c>
      <c r="F82" s="45">
        <f>BS!F18</f>
        <v>57536</v>
      </c>
      <c r="G82" s="45">
        <f>BS!G18</f>
        <v>81134</v>
      </c>
      <c r="H82" s="45">
        <f>BS!H18</f>
        <v>86455</v>
      </c>
      <c r="I82" s="45">
        <f>BS!I18</f>
        <v>72457</v>
      </c>
      <c r="J82" s="45">
        <f>BS!J18</f>
        <v>74000</v>
      </c>
      <c r="K82" s="45">
        <f>BS!K18</f>
        <v>78500</v>
      </c>
      <c r="L82" s="45">
        <f>BS!L18</f>
        <v>65000</v>
      </c>
      <c r="M82" s="45">
        <f>BS!M18</f>
        <v>65000</v>
      </c>
      <c r="N82" s="45">
        <f>BS!N18</f>
        <v>65000</v>
      </c>
      <c r="O82" s="45">
        <f>BS!O18</f>
        <v>65000</v>
      </c>
      <c r="P82" s="45">
        <f>BS!P18</f>
        <v>65000</v>
      </c>
      <c r="Q82" s="45">
        <f>BS!Q18</f>
        <v>65000</v>
      </c>
    </row>
    <row r="83" spans="1:17" ht="15" customHeight="1" x14ac:dyDescent="0.2">
      <c r="A83" s="42" t="s">
        <v>751</v>
      </c>
      <c r="B83" s="45">
        <f>-BS!B43</f>
        <v>-2606628</v>
      </c>
      <c r="C83" s="45">
        <f>-BS!C43</f>
        <v>-2670228</v>
      </c>
      <c r="D83" s="45">
        <f>-BS!D43</f>
        <v>-2857382</v>
      </c>
      <c r="E83" s="45">
        <f>-BS!E43</f>
        <v>-2970662</v>
      </c>
      <c r="F83" s="45">
        <f>-BS!F43</f>
        <v>-2963204</v>
      </c>
      <c r="G83" s="45">
        <f>-BS!G43</f>
        <v>-3061851</v>
      </c>
      <c r="H83" s="45">
        <f>-BS!H43</f>
        <v>-3293574</v>
      </c>
      <c r="I83" s="45">
        <f>-BS!I43</f>
        <v>-3489028</v>
      </c>
      <c r="J83" s="45">
        <f>-BS!J43</f>
        <v>-3661417</v>
      </c>
      <c r="K83" s="45">
        <f>-BS!K43</f>
        <v>-3673081</v>
      </c>
      <c r="L83" s="45">
        <f>-BS!L43</f>
        <v>-3869895</v>
      </c>
      <c r="M83" s="45">
        <f>-BS!M43</f>
        <v>-4068540.1258047111</v>
      </c>
      <c r="N83" s="45">
        <f>-BS!N43</f>
        <v>-4192382.5058421316</v>
      </c>
      <c r="O83" s="45">
        <f>-BS!O43</f>
        <v>-4248728.3366258973</v>
      </c>
      <c r="P83" s="45">
        <f>-BS!P43</f>
        <v>-4289619.0666002845</v>
      </c>
      <c r="Q83" s="45">
        <f>-BS!Q43</f>
        <v>-4317361.9106974155</v>
      </c>
    </row>
    <row r="84" spans="1:17" ht="15" customHeight="1" x14ac:dyDescent="0.2">
      <c r="A84" s="39" t="s">
        <v>171</v>
      </c>
      <c r="B84" s="44">
        <f t="shared" ref="B84:Q84" si="1">B81+B82+B83</f>
        <v>3551444</v>
      </c>
      <c r="C84" s="44">
        <f t="shared" si="1"/>
        <v>2516356</v>
      </c>
      <c r="D84" s="44">
        <f t="shared" si="1"/>
        <v>1558330</v>
      </c>
      <c r="E84" s="44">
        <f t="shared" si="1"/>
        <v>1615434</v>
      </c>
      <c r="F84" s="44">
        <f t="shared" si="1"/>
        <v>2270192</v>
      </c>
      <c r="G84" s="44">
        <f t="shared" si="1"/>
        <v>2402163</v>
      </c>
      <c r="H84" s="44">
        <f t="shared" si="1"/>
        <v>2279681</v>
      </c>
      <c r="I84" s="44">
        <f t="shared" si="1"/>
        <v>2329829</v>
      </c>
      <c r="J84" s="44">
        <f t="shared" si="1"/>
        <v>3072363</v>
      </c>
      <c r="K84" s="44">
        <f t="shared" si="1"/>
        <v>4052099</v>
      </c>
      <c r="L84" s="44">
        <f t="shared" si="1"/>
        <v>4546325</v>
      </c>
      <c r="M84" s="44">
        <f t="shared" si="1"/>
        <v>4651857.2831573356</v>
      </c>
      <c r="N84" s="44">
        <f t="shared" si="1"/>
        <v>4975147.7281434471</v>
      </c>
      <c r="O84" s="44">
        <f t="shared" si="1"/>
        <v>5343529.1990128336</v>
      </c>
      <c r="P84" s="44">
        <f t="shared" si="1"/>
        <v>5673313.6458311817</v>
      </c>
      <c r="Q84" s="44">
        <f t="shared" si="1"/>
        <v>5964435.7337113544</v>
      </c>
    </row>
    <row r="85" spans="1:17" ht="15" customHeight="1" x14ac:dyDescent="0.2">
      <c r="A85" s="42" t="s">
        <v>172</v>
      </c>
      <c r="B85" s="55">
        <f>IF(BS!B53&lt;&gt;0,B84/BS!B53,0)</f>
        <v>75.809422161504472</v>
      </c>
      <c r="C85" s="55">
        <f>IF(BS!C53&lt;&gt;0,C84/BS!C53,0)</f>
        <v>54.488988978151191</v>
      </c>
      <c r="D85" s="55">
        <f>IF(BS!D53&lt;&gt;0,D84/BS!D53,0)</f>
        <v>33.629634425309682</v>
      </c>
      <c r="E85" s="55">
        <f>IF(BS!E53&lt;&gt;0,E84/BS!E53,0)</f>
        <v>34.8213916192447</v>
      </c>
      <c r="F85" s="55">
        <f>IF(BS!F53&lt;&gt;0,F84/BS!F53,0)</f>
        <v>48.862314629474184</v>
      </c>
      <c r="G85" s="55">
        <f>IF(BS!G53&lt;&gt;0,G84/BS!G53,0)</f>
        <v>51.605039850480139</v>
      </c>
      <c r="H85" s="55">
        <f>IF(BS!H53&lt;&gt;0,H84/BS!H53,0)</f>
        <v>49.411123393371916</v>
      </c>
      <c r="I85" s="55">
        <f>IF(BS!I53&lt;&gt;0,I84/BS!I53,0)</f>
        <v>50.955296021695865</v>
      </c>
      <c r="J85" s="55">
        <f>IF(BS!J53&lt;&gt;0,J84/BS!J53,0)</f>
        <v>67.048490932501139</v>
      </c>
      <c r="K85" s="55">
        <f>IF(BS!K53&lt;&gt;0,K84/BS!K53,0)</f>
        <v>88.717848228751592</v>
      </c>
      <c r="L85" s="55">
        <f>IF(BS!L53&lt;&gt;0,L84/BS!L53,0)</f>
        <v>101.53486242629981</v>
      </c>
      <c r="M85" s="55">
        <f>IF(BS!M53&lt;&gt;0,M84/BS!M53,0)</f>
        <v>94.742510858601534</v>
      </c>
      <c r="N85" s="55">
        <f>IF(BS!N53&lt;&gt;0,N84/BS!N53,0)</f>
        <v>101.32683764039606</v>
      </c>
      <c r="O85" s="55">
        <f>IF(BS!O53&lt;&gt;0,O84/BS!O53,0)</f>
        <v>108.82951525484387</v>
      </c>
      <c r="P85" s="55">
        <f>IF(BS!P53&lt;&gt;0,P84/BS!P53,0)</f>
        <v>115.54610276641918</v>
      </c>
      <c r="Q85" s="55">
        <f>IF(BS!Q53&lt;&gt;0,Q84/BS!Q53,0)</f>
        <v>121.4752695256895</v>
      </c>
    </row>
    <row r="86" spans="1:17" ht="15" customHeight="1" x14ac:dyDescent="0.2">
      <c r="A86" s="42" t="s">
        <v>711</v>
      </c>
      <c r="B86" s="56">
        <v>47.45</v>
      </c>
      <c r="C86" s="56">
        <v>44.25</v>
      </c>
      <c r="D86" s="56">
        <v>42.5</v>
      </c>
      <c r="E86" s="56">
        <v>37.85</v>
      </c>
      <c r="F86" s="56">
        <v>42</v>
      </c>
      <c r="G86" s="56">
        <v>34</v>
      </c>
      <c r="H86" s="56">
        <v>54</v>
      </c>
      <c r="I86" s="56">
        <v>46.5</v>
      </c>
      <c r="J86" s="56">
        <v>61.5</v>
      </c>
      <c r="K86" s="56">
        <v>67.08</v>
      </c>
      <c r="L86" s="56">
        <v>62</v>
      </c>
      <c r="M86" s="55">
        <f>Assumptions!B73</f>
        <v>1050</v>
      </c>
      <c r="N86" s="55">
        <f>Assumptions!C73</f>
        <v>1050</v>
      </c>
      <c r="O86" s="55">
        <f>Assumptions!D73</f>
        <v>1100</v>
      </c>
      <c r="P86" s="55">
        <f>Assumptions!E73</f>
        <v>1100</v>
      </c>
      <c r="Q86" s="55">
        <f>Assumptions!F73</f>
        <v>1150</v>
      </c>
    </row>
    <row r="87" spans="1:17" ht="15" customHeight="1" x14ac:dyDescent="0.2">
      <c r="A87" s="42" t="s">
        <v>173</v>
      </c>
      <c r="B87" s="49">
        <f t="shared" ref="B87:Q87" si="2">IF(B85&lt;&gt;0,B86/B85-1,0)</f>
        <v>-0.37408835673602059</v>
      </c>
      <c r="C87" s="49">
        <f t="shared" si="2"/>
        <v>-0.18790932205141087</v>
      </c>
      <c r="D87" s="49">
        <f t="shared" si="2"/>
        <v>0.26376633960714346</v>
      </c>
      <c r="E87" s="49">
        <f t="shared" si="2"/>
        <v>8.6975512462904581E-2</v>
      </c>
      <c r="F87" s="49">
        <f t="shared" si="2"/>
        <v>-0.14044186571003692</v>
      </c>
      <c r="G87" s="49">
        <f t="shared" si="2"/>
        <v>-0.34114962223629286</v>
      </c>
      <c r="H87" s="49">
        <f t="shared" si="2"/>
        <v>9.2871327172529883E-2</v>
      </c>
      <c r="I87" s="49">
        <f t="shared" si="2"/>
        <v>-8.7435386888909061E-2</v>
      </c>
      <c r="J87" s="49">
        <f t="shared" si="2"/>
        <v>-8.2753405115215783E-2</v>
      </c>
      <c r="K87" s="49">
        <f t="shared" si="2"/>
        <v>-0.24389509733103765</v>
      </c>
      <c r="L87" s="49">
        <f t="shared" si="2"/>
        <v>-0.38937229520546823</v>
      </c>
      <c r="M87" s="49">
        <f t="shared" si="2"/>
        <v>10.082670181362118</v>
      </c>
      <c r="N87" s="49">
        <f t="shared" si="2"/>
        <v>9.3625063650599465</v>
      </c>
      <c r="O87" s="49">
        <f t="shared" si="2"/>
        <v>9.1075521417526506</v>
      </c>
      <c r="P87" s="49">
        <f t="shared" si="2"/>
        <v>8.5200095344080236</v>
      </c>
      <c r="Q87" s="49">
        <f t="shared" si="2"/>
        <v>8.4669475070133426</v>
      </c>
    </row>
    <row r="88" spans="1:17" ht="15" customHeight="1" x14ac:dyDescent="0.2">
      <c r="A88" s="42" t="s">
        <v>752</v>
      </c>
      <c r="C88" s="49">
        <f t="shared" ref="C88:Q88" si="3">IF(B85&lt;&gt;0,C85/B85-1,0)</f>
        <v>-0.28123724697349894</v>
      </c>
      <c r="D88" s="49">
        <f t="shared" si="3"/>
        <v>-0.38281779390705195</v>
      </c>
      <c r="E88" s="49">
        <f t="shared" si="3"/>
        <v>3.5437708863052642E-2</v>
      </c>
      <c r="F88" s="49">
        <f t="shared" si="3"/>
        <v>0.40322693486119898</v>
      </c>
      <c r="G88" s="49">
        <f t="shared" si="3"/>
        <v>5.6131708900902577E-2</v>
      </c>
      <c r="H88" s="49">
        <f t="shared" si="3"/>
        <v>-4.2513608427875438E-2</v>
      </c>
      <c r="I88" s="49">
        <f t="shared" si="3"/>
        <v>3.1251518327775729E-2</v>
      </c>
      <c r="J88" s="49">
        <f t="shared" si="3"/>
        <v>0.31582968145162127</v>
      </c>
      <c r="K88" s="49">
        <f t="shared" si="3"/>
        <v>0.32318933647686965</v>
      </c>
      <c r="L88" s="49">
        <f t="shared" si="3"/>
        <v>0.14446939881252097</v>
      </c>
      <c r="M88" s="49">
        <f t="shared" si="3"/>
        <v>-6.689674270872803E-2</v>
      </c>
      <c r="N88" s="49">
        <f t="shared" si="3"/>
        <v>6.9497068656131589E-2</v>
      </c>
      <c r="O88" s="49">
        <f t="shared" si="3"/>
        <v>7.4044328128293424E-2</v>
      </c>
      <c r="P88" s="49">
        <f t="shared" si="3"/>
        <v>6.17165986253565E-2</v>
      </c>
      <c r="Q88" s="49">
        <f t="shared" si="3"/>
        <v>5.1314294617589518E-2</v>
      </c>
    </row>
    <row r="90" spans="1:17" ht="15" customHeight="1" x14ac:dyDescent="0.2">
      <c r="A90" s="42" t="s">
        <v>753</v>
      </c>
      <c r="L90" s="49">
        <f>(L85/B85)^(1/10)-1</f>
        <v>2.9648994768773251E-2</v>
      </c>
    </row>
    <row r="91" spans="1:17" ht="15" customHeight="1" x14ac:dyDescent="0.2">
      <c r="A91" s="42" t="s">
        <v>754</v>
      </c>
      <c r="L91" s="49">
        <f>(L85/H85)^(1/4)-1</f>
        <v>0.19728520025814045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9"/>
  <sheetViews>
    <sheetView zoomScaleNormal="100" workbookViewId="0">
      <selection activeCell="C22" sqref="C22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152</v>
      </c>
    </row>
    <row r="3" spans="1:17" ht="15" customHeight="1" x14ac:dyDescent="0.2">
      <c r="A3" s="4" t="s">
        <v>153</v>
      </c>
    </row>
    <row r="5" spans="1:17" ht="15" customHeight="1" x14ac:dyDescent="0.2">
      <c r="B5" s="21" t="s">
        <v>154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155</v>
      </c>
      <c r="I5" s="6"/>
      <c r="J5" s="6"/>
      <c r="K5" s="6"/>
      <c r="L5" s="6"/>
      <c r="M5" s="6"/>
      <c r="N5" s="6"/>
      <c r="O5" s="6"/>
      <c r="P5" s="6"/>
      <c r="Q5" s="6"/>
    </row>
    <row r="7" spans="1:17" ht="15" customHeight="1" x14ac:dyDescent="0.2">
      <c r="A7" s="3" t="s">
        <v>156</v>
      </c>
    </row>
    <row r="8" spans="1:17" ht="15" customHeight="1" x14ac:dyDescent="0.2">
      <c r="A8" s="8" t="s">
        <v>157</v>
      </c>
    </row>
    <row r="9" spans="1:17" ht="15" customHeight="1" x14ac:dyDescent="0.2">
      <c r="A9" s="8" t="s">
        <v>158</v>
      </c>
      <c r="B9" s="12">
        <v>62</v>
      </c>
      <c r="I9" s="4" t="s">
        <v>159</v>
      </c>
    </row>
    <row r="10" spans="1:17" ht="15" customHeight="1" x14ac:dyDescent="0.2">
      <c r="A10" s="8" t="s">
        <v>160</v>
      </c>
      <c r="B10" s="19">
        <f>BS!L53</f>
        <v>44776</v>
      </c>
    </row>
    <row r="11" spans="1:17" ht="15" customHeight="1" x14ac:dyDescent="0.2">
      <c r="A11" s="8" t="s">
        <v>161</v>
      </c>
      <c r="B11" s="14">
        <f>B9*B10</f>
        <v>2776112</v>
      </c>
    </row>
    <row r="12" spans="1:17" ht="15" customHeight="1" x14ac:dyDescent="0.2">
      <c r="A12" s="8" t="s">
        <v>115</v>
      </c>
      <c r="B12" s="19">
        <f>IS!L43</f>
        <v>53176</v>
      </c>
      <c r="C12" s="19">
        <f>IS!M43</f>
        <v>53300</v>
      </c>
      <c r="D12" s="19">
        <f>IS!N43</f>
        <v>53300</v>
      </c>
      <c r="E12" s="19">
        <f>IS!O43</f>
        <v>53300</v>
      </c>
      <c r="F12" s="19">
        <f>IS!P43</f>
        <v>53300</v>
      </c>
      <c r="G12" s="19">
        <f>IS!Q43</f>
        <v>53300</v>
      </c>
    </row>
    <row r="14" spans="1:17" ht="15" customHeight="1" x14ac:dyDescent="0.2">
      <c r="A14" s="3" t="s">
        <v>162</v>
      </c>
    </row>
    <row r="17" spans="1:8" ht="15" customHeight="1" x14ac:dyDescent="0.2">
      <c r="A17" s="3" t="s">
        <v>163</v>
      </c>
    </row>
    <row r="18" spans="1:8" ht="15" customHeight="1" x14ac:dyDescent="0.2">
      <c r="A18" s="8" t="s">
        <v>164</v>
      </c>
      <c r="B18" s="10">
        <v>0.05</v>
      </c>
      <c r="C18" s="10">
        <v>0.05</v>
      </c>
      <c r="D18" s="10">
        <v>0.05</v>
      </c>
      <c r="E18" s="10">
        <v>0.05</v>
      </c>
      <c r="F18" s="10">
        <v>0.05</v>
      </c>
      <c r="G18" s="10">
        <v>0.05</v>
      </c>
      <c r="H18" s="10">
        <v>0.05</v>
      </c>
    </row>
    <row r="22" spans="1:8" ht="15" customHeight="1" x14ac:dyDescent="0.2">
      <c r="A22" s="8" t="s">
        <v>165</v>
      </c>
      <c r="B22" s="19">
        <f>IS!L20</f>
        <v>417561</v>
      </c>
      <c r="C22" s="19">
        <f>IS!M20</f>
        <v>432769.87044810236</v>
      </c>
      <c r="D22" s="19">
        <f>IS!N20</f>
        <v>455126.51169927896</v>
      </c>
      <c r="E22" s="19">
        <f>IS!O20</f>
        <v>476362.87678193656</v>
      </c>
      <c r="F22" s="19">
        <f>IS!P20</f>
        <v>494896.63562157331</v>
      </c>
      <c r="G22" s="19">
        <f>IS!Q20</f>
        <v>510839.88222043857</v>
      </c>
      <c r="H22" s="19">
        <f>G22*(1+Assumptions!F8)</f>
        <v>529230.11798037437</v>
      </c>
    </row>
    <row r="24" spans="1:8" ht="15" customHeight="1" x14ac:dyDescent="0.2">
      <c r="A24" s="8" t="s">
        <v>166</v>
      </c>
      <c r="B24" s="14">
        <f t="shared" ref="B24:H24" si="0">IF(B18&lt;&gt;0,B22/B18,0)</f>
        <v>8351220</v>
      </c>
      <c r="C24" s="14">
        <f t="shared" si="0"/>
        <v>8655397.4089620467</v>
      </c>
      <c r="D24" s="14">
        <f t="shared" si="0"/>
        <v>9102530.2339855786</v>
      </c>
      <c r="E24" s="14">
        <f t="shared" si="0"/>
        <v>9527257.535638731</v>
      </c>
      <c r="F24" s="14">
        <f t="shared" si="0"/>
        <v>9897932.7124314662</v>
      </c>
      <c r="G24" s="14">
        <f t="shared" si="0"/>
        <v>10216797.64440877</v>
      </c>
      <c r="H24" s="14">
        <f t="shared" si="0"/>
        <v>10584602.359607486</v>
      </c>
    </row>
    <row r="26" spans="1:8" ht="15" customHeight="1" x14ac:dyDescent="0.2">
      <c r="A26" s="3" t="s">
        <v>167</v>
      </c>
    </row>
    <row r="27" spans="1:8" ht="15" customHeight="1" x14ac:dyDescent="0.2">
      <c r="A27" s="8" t="s">
        <v>168</v>
      </c>
      <c r="B27" s="19">
        <f>BS!L49</f>
        <v>3490395</v>
      </c>
      <c r="C27" s="19">
        <f>BS!M49</f>
        <v>3682540.1258047111</v>
      </c>
      <c r="D27" s="19">
        <f>BS!N49</f>
        <v>3806382.5058421316</v>
      </c>
      <c r="E27" s="19">
        <f>BS!O49</f>
        <v>3862728.3366258973</v>
      </c>
      <c r="F27" s="19">
        <f>BS!P49</f>
        <v>3903619.0666002845</v>
      </c>
      <c r="G27" s="19">
        <f>BS!Q49</f>
        <v>3931361.9106974159</v>
      </c>
    </row>
    <row r="29" spans="1:8" ht="15" customHeight="1" x14ac:dyDescent="0.2">
      <c r="A29" s="8" t="s">
        <v>169</v>
      </c>
      <c r="B29" s="19">
        <f>BS!L30</f>
        <v>301000</v>
      </c>
      <c r="C29" s="19">
        <f>BS!M30</f>
        <v>301000</v>
      </c>
      <c r="D29" s="19">
        <f>BS!N30</f>
        <v>301000</v>
      </c>
      <c r="E29" s="19">
        <f>BS!O30</f>
        <v>301000</v>
      </c>
      <c r="F29" s="19">
        <f>BS!P30</f>
        <v>301000</v>
      </c>
      <c r="G29" s="19">
        <f>BS!Q30</f>
        <v>301000</v>
      </c>
    </row>
    <row r="31" spans="1:8" ht="15" customHeight="1" x14ac:dyDescent="0.2">
      <c r="A31" s="8" t="s">
        <v>170</v>
      </c>
      <c r="B31" s="13">
        <v>50000</v>
      </c>
      <c r="C31" s="13">
        <v>50000</v>
      </c>
      <c r="D31" s="13">
        <v>50000</v>
      </c>
      <c r="E31" s="13">
        <v>50000</v>
      </c>
      <c r="F31" s="13">
        <v>50000</v>
      </c>
      <c r="G31" s="13">
        <v>50000</v>
      </c>
      <c r="H31" s="13">
        <v>50000</v>
      </c>
    </row>
    <row r="33" spans="1:8" ht="15" customHeight="1" x14ac:dyDescent="0.2">
      <c r="A33" s="3" t="s">
        <v>171</v>
      </c>
      <c r="B33" s="14">
        <f t="shared" ref="B33:H33" si="1">B24-B27-B29-B31</f>
        <v>4509825</v>
      </c>
      <c r="C33" s="14">
        <f t="shared" si="1"/>
        <v>4621857.2831573356</v>
      </c>
      <c r="D33" s="14">
        <f t="shared" si="1"/>
        <v>4945147.7281434471</v>
      </c>
      <c r="E33" s="14">
        <f t="shared" si="1"/>
        <v>5313529.1990128336</v>
      </c>
      <c r="F33" s="14">
        <f t="shared" si="1"/>
        <v>5643313.6458311817</v>
      </c>
      <c r="G33" s="14">
        <f t="shared" si="1"/>
        <v>5934435.7337113544</v>
      </c>
      <c r="H33" s="14">
        <f t="shared" si="1"/>
        <v>10534602.359607486</v>
      </c>
    </row>
    <row r="34" spans="1:8" ht="15" customHeight="1" x14ac:dyDescent="0.2">
      <c r="A34" s="8" t="s">
        <v>172</v>
      </c>
      <c r="B34" s="11">
        <f>IF(B10&lt;&gt;0,B33/B10,0)</f>
        <v>100.71969358584957</v>
      </c>
      <c r="C34" s="11">
        <f>IF(B10&lt;&gt;0,C33/B10,0)</f>
        <v>103.22175458185939</v>
      </c>
      <c r="D34" s="11">
        <f>IF(B10&lt;&gt;0,D33/B10,0)</f>
        <v>110.44192710700926</v>
      </c>
      <c r="E34" s="11">
        <f>IF(B10&lt;&gt;0,E33/B10,0)</f>
        <v>118.66913522898056</v>
      </c>
      <c r="F34" s="11">
        <f>IF(B10&lt;&gt;0,F33/B10,0)</f>
        <v>126.03434084847198</v>
      </c>
      <c r="G34" s="11">
        <f>IF(B10&lt;&gt;0,G33/B10,0)</f>
        <v>132.53608481577976</v>
      </c>
      <c r="H34" s="11">
        <f>IF(B10&lt;&gt;0,H33/B10,0)</f>
        <v>235.27341342700299</v>
      </c>
    </row>
    <row r="35" spans="1:8" ht="15" customHeight="1" x14ac:dyDescent="0.2">
      <c r="A35" s="8" t="s">
        <v>173</v>
      </c>
      <c r="B35" s="9">
        <f>IF(B34&lt;&gt;0,B9/B34-1,0)</f>
        <v>-0.38443021625007623</v>
      </c>
    </row>
    <row r="36" spans="1:8" ht="15" customHeight="1" x14ac:dyDescent="0.2">
      <c r="A36" s="8" t="s">
        <v>174</v>
      </c>
      <c r="C36" s="9">
        <f>IF(B34&lt;&gt;0,C34/B34-1,0)</f>
        <v>2.4841824939401347E-2</v>
      </c>
      <c r="D36" s="9">
        <f>IF(C34&lt;&gt;0,D34/C34-1,0)</f>
        <v>6.9948166976991022E-2</v>
      </c>
      <c r="E36" s="9">
        <f>IF(D34&lt;&gt;0,E34/D34-1,0)</f>
        <v>7.4493521957470055E-2</v>
      </c>
      <c r="F36" s="9">
        <f>IF(E34&lt;&gt;0,F34/E34-1,0)</f>
        <v>6.2065048382460519E-2</v>
      </c>
      <c r="G36" s="9">
        <f>IF(F34&lt;&gt;0,G34/F34-1,0)</f>
        <v>5.1587082723149713E-2</v>
      </c>
    </row>
    <row r="37" spans="1:8" ht="15" customHeight="1" x14ac:dyDescent="0.2">
      <c r="A37" s="8" t="s">
        <v>175</v>
      </c>
      <c r="C37" s="9">
        <f>IF(B22&lt;&gt;0,C22/B22-1,0)</f>
        <v>3.6423110511044854E-2</v>
      </c>
      <c r="D37" s="9">
        <f>IF(C22&lt;&gt;0,D22/C22-1,0)</f>
        <v>5.1659421733837085E-2</v>
      </c>
      <c r="E37" s="9">
        <f>IF(D22&lt;&gt;0,E22/D22-1,0)</f>
        <v>4.6660356047747431E-2</v>
      </c>
      <c r="F37" s="9">
        <f>IF(E22&lt;&gt;0,F22/E22-1,0)</f>
        <v>3.8906807694254697E-2</v>
      </c>
      <c r="G37" s="9">
        <f>IF(F22&lt;&gt;0,G22/F22-1,0)</f>
        <v>3.2215306088797968E-2</v>
      </c>
    </row>
    <row r="38" spans="1:8" ht="15" customHeight="1" x14ac:dyDescent="0.2">
      <c r="A38" s="3" t="s">
        <v>176</v>
      </c>
    </row>
    <row r="40" spans="1:8" ht="15" customHeight="1" x14ac:dyDescent="0.2">
      <c r="A40" s="8" t="s">
        <v>177</v>
      </c>
      <c r="B40" s="22">
        <f>FFO_AFFO!L19</f>
        <v>4.6570633368436889</v>
      </c>
      <c r="C40" s="22">
        <f>FFO_AFFO!M19</f>
        <v>4.6941685798574122</v>
      </c>
      <c r="D40" s="22">
        <f>FFO_AFFO!N19</f>
        <v>5.046744089354215</v>
      </c>
      <c r="E40" s="22">
        <f>FFO_AFFO!O19</f>
        <v>5.4488593765814164</v>
      </c>
      <c r="F40" s="22">
        <f>FFO_AFFO!P19</f>
        <v>5.8141328126548153</v>
      </c>
      <c r="G40" s="22">
        <f>FFO_AFFO!Q19</f>
        <v>6.1375781595284886</v>
      </c>
    </row>
    <row r="41" spans="1:8" ht="15" customHeight="1" x14ac:dyDescent="0.2">
      <c r="A41" s="8" t="s">
        <v>178</v>
      </c>
      <c r="C41" s="22">
        <f>FFO_AFFO!M24/IS!M43</f>
        <v>-0.68661288305190749</v>
      </c>
      <c r="D41" s="22">
        <f>FFO_AFFO!N24/IS!N43</f>
        <v>-0.69755722326454028</v>
      </c>
      <c r="E41" s="22">
        <f>FFO_AFFO!O24/IS!O43</f>
        <v>-0.73650698353137356</v>
      </c>
      <c r="F41" s="22">
        <f>FFO_AFFO!P24/IS!P43</f>
        <v>-0.74223973316656211</v>
      </c>
      <c r="G41" s="22">
        <f>FFO_AFFO!Q24/IS!Q43</f>
        <v>-0.78197123202001217</v>
      </c>
    </row>
    <row r="42" spans="1:8" ht="15" customHeight="1" x14ac:dyDescent="0.2">
      <c r="A42" s="8" t="s">
        <v>179</v>
      </c>
      <c r="B42" s="22">
        <f>FFO_AFFO!L29</f>
        <v>3.9988716714307206</v>
      </c>
      <c r="C42" s="22">
        <f>FFO_AFFO!M29</f>
        <v>4.0075556968055048</v>
      </c>
      <c r="D42" s="22">
        <f>FFO_AFFO!N29</f>
        <v>4.3491868660896751</v>
      </c>
      <c r="E42" s="22">
        <f>FFO_AFFO!O29</f>
        <v>4.7123523930500424</v>
      </c>
      <c r="F42" s="22">
        <f>FFO_AFFO!P29</f>
        <v>5.0718930794882535</v>
      </c>
      <c r="G42" s="22">
        <f>FFO_AFFO!Q29</f>
        <v>5.3556069275084761</v>
      </c>
    </row>
    <row r="44" spans="1:8" ht="15" customHeight="1" x14ac:dyDescent="0.2">
      <c r="A44" s="8" t="s">
        <v>180</v>
      </c>
      <c r="B44" s="22">
        <f>'CFS-FCF'!L11</f>
        <v>1.8600684519332029</v>
      </c>
      <c r="C44" s="22">
        <f>'CFS-FCF'!M11</f>
        <v>1.7242002663281235</v>
      </c>
      <c r="D44" s="22">
        <f>'CFS-FCF'!N11</f>
        <v>1.9373849899170668</v>
      </c>
      <c r="E44" s="22">
        <f>'CFS-FCF'!O11</f>
        <v>2.2218418239443523</v>
      </c>
      <c r="F44" s="22">
        <f>'CFS-FCF'!P11</f>
        <v>2.4679975614561509</v>
      </c>
      <c r="G44" s="22">
        <f>'CFS-FCF'!Q11</f>
        <v>2.6708659644065391</v>
      </c>
    </row>
    <row r="46" spans="1:8" ht="15" customHeight="1" x14ac:dyDescent="0.2">
      <c r="A46" s="8" t="s">
        <v>181</v>
      </c>
      <c r="B46" s="22">
        <f>FFO_AFFO!L33</f>
        <v>1.6</v>
      </c>
      <c r="C46" s="22">
        <f>FFO_AFFO!M33</f>
        <v>1.8</v>
      </c>
      <c r="D46" s="22">
        <f>FFO_AFFO!N33</f>
        <v>1.85</v>
      </c>
      <c r="E46" s="22">
        <f>FFO_AFFO!O33</f>
        <v>1.9</v>
      </c>
      <c r="F46" s="22">
        <f>FFO_AFFO!P33</f>
        <v>1.95</v>
      </c>
      <c r="G46" s="22">
        <f>FFO_AFFO!Q33</f>
        <v>2</v>
      </c>
    </row>
    <row r="48" spans="1:8" ht="15" customHeight="1" x14ac:dyDescent="0.2">
      <c r="A48" s="8" t="s">
        <v>182</v>
      </c>
      <c r="B48" s="9">
        <f t="shared" ref="B48:G48" si="2">IF(B42&lt;&gt;0,B46/B42,0)</f>
        <v>0.40011286469404267</v>
      </c>
      <c r="C48" s="9">
        <f t="shared" si="2"/>
        <v>0.44915158669780003</v>
      </c>
      <c r="D48" s="9">
        <f t="shared" si="2"/>
        <v>0.42536686901736248</v>
      </c>
      <c r="E48" s="9">
        <f t="shared" si="2"/>
        <v>0.40319565294017329</v>
      </c>
      <c r="F48" s="9">
        <f t="shared" si="2"/>
        <v>0.38447182727218532</v>
      </c>
      <c r="G48" s="9">
        <f t="shared" si="2"/>
        <v>0.37344040126007449</v>
      </c>
    </row>
    <row r="49" spans="1:8" ht="15" customHeight="1" x14ac:dyDescent="0.2">
      <c r="A49" s="8" t="s">
        <v>183</v>
      </c>
      <c r="B49" s="9">
        <f t="shared" ref="B49:G49" si="3">IF(B44&lt;&gt;0,B46/B44,0)</f>
        <v>0.86018339719545855</v>
      </c>
      <c r="C49" s="9">
        <f t="shared" si="3"/>
        <v>1.0439622560976054</v>
      </c>
      <c r="D49" s="9">
        <f t="shared" si="3"/>
        <v>0.9548953923087804</v>
      </c>
      <c r="E49" s="9">
        <f t="shared" si="3"/>
        <v>0.85514638329518944</v>
      </c>
      <c r="F49" s="9">
        <f t="shared" si="3"/>
        <v>0.79011423287204319</v>
      </c>
      <c r="G49" s="9">
        <f t="shared" si="3"/>
        <v>0.74882080443314036</v>
      </c>
    </row>
    <row r="50" spans="1:8" ht="15" customHeight="1" x14ac:dyDescent="0.2">
      <c r="A50" s="8" t="s">
        <v>184</v>
      </c>
      <c r="B50" s="11">
        <f t="shared" ref="B50:G50" si="4">B42-B46</f>
        <v>2.3988716714307206</v>
      </c>
      <c r="C50" s="11">
        <f t="shared" si="4"/>
        <v>2.207555696805505</v>
      </c>
      <c r="D50" s="11">
        <f t="shared" si="4"/>
        <v>2.499186866089675</v>
      </c>
      <c r="E50" s="11">
        <f t="shared" si="4"/>
        <v>2.8123523930500425</v>
      </c>
      <c r="F50" s="11">
        <f t="shared" si="4"/>
        <v>3.1218930794882533</v>
      </c>
      <c r="G50" s="11">
        <f t="shared" si="4"/>
        <v>3.3556069275084761</v>
      </c>
    </row>
    <row r="51" spans="1:8" ht="15" customHeight="1" x14ac:dyDescent="0.2">
      <c r="A51" s="8" t="s">
        <v>185</v>
      </c>
      <c r="B51" s="11">
        <f t="shared" ref="B51:G51" si="5">B44-B46</f>
        <v>0.26006845193320283</v>
      </c>
      <c r="C51" s="11">
        <f t="shared" si="5"/>
        <v>-7.5799733671876535E-2</v>
      </c>
      <c r="D51" s="11">
        <f t="shared" si="5"/>
        <v>8.7384989917066669E-2</v>
      </c>
      <c r="E51" s="11">
        <f t="shared" si="5"/>
        <v>0.32184182394435235</v>
      </c>
      <c r="F51" s="11">
        <f t="shared" si="5"/>
        <v>0.51799756145615095</v>
      </c>
      <c r="G51" s="11">
        <f t="shared" si="5"/>
        <v>0.67086596440653912</v>
      </c>
    </row>
    <row r="52" spans="1:8" ht="15" customHeight="1" x14ac:dyDescent="0.2">
      <c r="A52" s="3" t="s">
        <v>186</v>
      </c>
    </row>
    <row r="54" spans="1:8" ht="15" customHeight="1" x14ac:dyDescent="0.2">
      <c r="A54" s="3" t="s">
        <v>187</v>
      </c>
    </row>
    <row r="55" spans="1:8" ht="15" customHeight="1" x14ac:dyDescent="0.2">
      <c r="A55" s="8" t="s">
        <v>188</v>
      </c>
      <c r="H55" s="10">
        <v>0.05</v>
      </c>
    </row>
    <row r="56" spans="1:8" ht="15" customHeight="1" x14ac:dyDescent="0.2">
      <c r="A56" s="8" t="s">
        <v>189</v>
      </c>
      <c r="H56" s="13">
        <v>16</v>
      </c>
    </row>
    <row r="57" spans="1:8" ht="15" customHeight="1" x14ac:dyDescent="0.2">
      <c r="A57" s="8" t="s">
        <v>190</v>
      </c>
      <c r="H57" s="23" t="s">
        <v>191</v>
      </c>
    </row>
    <row r="59" spans="1:8" ht="15" customHeight="1" x14ac:dyDescent="0.2">
      <c r="A59" s="3" t="s">
        <v>192</v>
      </c>
    </row>
    <row r="60" spans="1:8" ht="15" customHeight="1" x14ac:dyDescent="0.2">
      <c r="A60" s="8" t="s">
        <v>193</v>
      </c>
      <c r="H60" s="11">
        <f>H56*G42</f>
        <v>85.689710840135618</v>
      </c>
    </row>
    <row r="61" spans="1:8" ht="15" customHeight="1" x14ac:dyDescent="0.2">
      <c r="A61" s="8" t="s">
        <v>194</v>
      </c>
      <c r="H61" s="11">
        <f>H34</f>
        <v>235.27341342700299</v>
      </c>
    </row>
    <row r="62" spans="1:8" ht="15" customHeight="1" x14ac:dyDescent="0.2">
      <c r="A62" s="8" t="s">
        <v>195</v>
      </c>
      <c r="H62" s="11">
        <f>IF(H57="NAV",H61,H60)</f>
        <v>235.27341342700299</v>
      </c>
    </row>
    <row r="64" spans="1:8" ht="15" customHeight="1" x14ac:dyDescent="0.2">
      <c r="A64" s="3" t="s">
        <v>196</v>
      </c>
    </row>
    <row r="65" spans="1:8" ht="15" customHeight="1" x14ac:dyDescent="0.2">
      <c r="A65" s="8" t="s">
        <v>197</v>
      </c>
      <c r="B65" s="14">
        <v>0</v>
      </c>
      <c r="C65" s="14">
        <v>1</v>
      </c>
      <c r="D65" s="14">
        <v>2</v>
      </c>
      <c r="E65" s="14">
        <v>3</v>
      </c>
      <c r="F65" s="14">
        <v>4</v>
      </c>
      <c r="G65" s="14">
        <v>5</v>
      </c>
      <c r="H65" s="14">
        <v>6</v>
      </c>
    </row>
    <row r="66" spans="1:8" ht="15" customHeight="1" x14ac:dyDescent="0.2">
      <c r="A66" s="8" t="s">
        <v>198</v>
      </c>
      <c r="B66" s="11">
        <f>-B9</f>
        <v>-62</v>
      </c>
    </row>
    <row r="67" spans="1:8" ht="15" customHeight="1" x14ac:dyDescent="0.2">
      <c r="A67" s="8" t="s">
        <v>199</v>
      </c>
      <c r="C67" s="11">
        <f>C46</f>
        <v>1.8</v>
      </c>
      <c r="D67" s="11">
        <f>D46</f>
        <v>1.85</v>
      </c>
      <c r="E67" s="11">
        <f>E46</f>
        <v>1.9</v>
      </c>
      <c r="F67" s="11">
        <f>F46</f>
        <v>1.95</v>
      </c>
      <c r="G67" s="11">
        <f>G46</f>
        <v>2</v>
      </c>
    </row>
    <row r="68" spans="1:8" ht="15" customHeight="1" x14ac:dyDescent="0.2">
      <c r="A68" s="8" t="s">
        <v>200</v>
      </c>
      <c r="G68" s="11">
        <f>H62</f>
        <v>235.27341342700299</v>
      </c>
    </row>
    <row r="69" spans="1:8" ht="15" customHeight="1" x14ac:dyDescent="0.2">
      <c r="A69" s="8" t="s">
        <v>201</v>
      </c>
      <c r="B69" s="11">
        <f t="shared" ref="B69:H69" si="6">B66+B67+B68</f>
        <v>-62</v>
      </c>
      <c r="C69" s="11">
        <f t="shared" si="6"/>
        <v>1.8</v>
      </c>
      <c r="D69" s="11">
        <f t="shared" si="6"/>
        <v>1.85</v>
      </c>
      <c r="E69" s="11">
        <f t="shared" si="6"/>
        <v>1.9</v>
      </c>
      <c r="F69" s="11">
        <f t="shared" si="6"/>
        <v>1.95</v>
      </c>
      <c r="G69" s="11">
        <f t="shared" si="6"/>
        <v>237.27341342700299</v>
      </c>
      <c r="H69" s="11">
        <f t="shared" si="6"/>
        <v>0</v>
      </c>
    </row>
    <row r="71" spans="1:8" ht="15" customHeight="1" x14ac:dyDescent="0.2">
      <c r="A71" s="3" t="s">
        <v>202</v>
      </c>
      <c r="B71" s="9">
        <f>IRR(B69:H69)</f>
        <v>0.32482644034850772</v>
      </c>
    </row>
    <row r="73" spans="1:8" ht="15" customHeight="1" x14ac:dyDescent="0.2">
      <c r="A73" s="3" t="s">
        <v>203</v>
      </c>
    </row>
    <row r="74" spans="1:8" ht="15" customHeight="1" x14ac:dyDescent="0.2">
      <c r="A74" s="8" t="s">
        <v>204</v>
      </c>
      <c r="B74" s="11">
        <f>B9</f>
        <v>62</v>
      </c>
    </row>
    <row r="75" spans="1:8" ht="15" customHeight="1" x14ac:dyDescent="0.2">
      <c r="A75" s="8" t="s">
        <v>205</v>
      </c>
      <c r="B75" s="11">
        <f>H62</f>
        <v>235.27341342700299</v>
      </c>
    </row>
    <row r="76" spans="1:8" ht="15" customHeight="1" x14ac:dyDescent="0.2">
      <c r="A76" s="8" t="s">
        <v>206</v>
      </c>
      <c r="B76" s="11">
        <f>B75-B74</f>
        <v>173.27341342700299</v>
      </c>
    </row>
    <row r="77" spans="1:8" ht="15" customHeight="1" x14ac:dyDescent="0.2">
      <c r="A77" s="8" t="s">
        <v>207</v>
      </c>
      <c r="B77" s="9">
        <f>IF(B74&lt;&gt;0,B76/B74,0)</f>
        <v>2.7947324746290807</v>
      </c>
    </row>
    <row r="78" spans="1:8" ht="15" customHeight="1" x14ac:dyDescent="0.2">
      <c r="A78" s="8" t="s">
        <v>208</v>
      </c>
      <c r="B78" s="11">
        <f>SUM(C67:G67)</f>
        <v>9.5</v>
      </c>
    </row>
    <row r="79" spans="1:8" ht="15" customHeight="1" x14ac:dyDescent="0.2">
      <c r="A79" s="8" t="s">
        <v>209</v>
      </c>
      <c r="B79" s="9">
        <f>IF(B74&lt;&gt;0,C67/B74,0)</f>
        <v>2.903225806451613E-2</v>
      </c>
    </row>
    <row r="80" spans="1:8" ht="15" customHeight="1" x14ac:dyDescent="0.2">
      <c r="A80" s="8" t="s">
        <v>210</v>
      </c>
      <c r="B80" s="9">
        <f>IF(B74&lt;&gt;0,(B76+B78)/B74,0)</f>
        <v>2.9479582810806932</v>
      </c>
    </row>
    <row r="81" spans="1:8" ht="15" customHeight="1" x14ac:dyDescent="0.2">
      <c r="A81" s="8" t="s">
        <v>211</v>
      </c>
      <c r="B81" s="9">
        <f>B71</f>
        <v>0.32482644034850772</v>
      </c>
    </row>
    <row r="84" spans="1:8" ht="15" customHeight="1" x14ac:dyDescent="0.2">
      <c r="A84" s="3" t="s">
        <v>212</v>
      </c>
    </row>
    <row r="86" spans="1:8" ht="15" customHeight="1" x14ac:dyDescent="0.2">
      <c r="A86" s="8" t="s">
        <v>213</v>
      </c>
      <c r="B86" s="24">
        <v>50</v>
      </c>
      <c r="C86" s="24">
        <v>55</v>
      </c>
      <c r="D86" s="24">
        <v>60</v>
      </c>
      <c r="E86" s="24">
        <v>62</v>
      </c>
      <c r="F86" s="24">
        <v>65</v>
      </c>
      <c r="G86" s="24">
        <v>70</v>
      </c>
      <c r="H86" s="24">
        <v>75</v>
      </c>
    </row>
    <row r="87" spans="1:8" ht="15" customHeight="1" x14ac:dyDescent="0.2">
      <c r="A87" s="25">
        <v>5.5E-2</v>
      </c>
      <c r="B87" s="9">
        <f>(($G$22*(1+Assumptions!F8)/0.055-$G$27-$G$29-$G$31)/$B$10/50)^0.2-1+$C$46/50</f>
        <v>0.22588572602238874</v>
      </c>
      <c r="C87" s="9">
        <f>(($G$22*(1+Assumptions!F8)/0.055-$G$27-$G$29-$G$31)/$B$10/55)^0.2-1+$C$46/55</f>
        <v>0.20014616632851268</v>
      </c>
      <c r="D87" s="9">
        <f>(($G$22*(1+Assumptions!F8)/0.055-$G$27-$G$29-$G$31)/$B$10/60)^0.2-1+$C$46/60</f>
        <v>0.17727889765051083</v>
      </c>
      <c r="E87" s="9">
        <f>(($G$22*(1+Assumptions!F8)/0.055-$G$27-$G$29-$G$31)/$B$10/62)^0.2-1+$C$46/62</f>
        <v>0.16881195797147394</v>
      </c>
      <c r="F87" s="9">
        <f>(($G$22*(1+Assumptions!F8)/0.055-$G$27-$G$29-$G$31)/$B$10/65)^0.2-1+$C$46/65</f>
        <v>0.15675117065643529</v>
      </c>
      <c r="G87" s="9">
        <f>(($G$22*(1+Assumptions!F8)/0.055-$G$27-$G$29-$G$31)/$B$10/70)^0.2-1+$C$46/70</f>
        <v>0.13816210131796983</v>
      </c>
      <c r="H87" s="9">
        <f>(($G$22*(1+Assumptions!F8)/0.055-$G$27-$G$29-$G$31)/$B$10/75)^0.2-1+$C$46/75</f>
        <v>0.12120304172442406</v>
      </c>
    </row>
    <row r="88" spans="1:8" ht="15" customHeight="1" x14ac:dyDescent="0.2">
      <c r="A88" s="25">
        <v>0.05</v>
      </c>
      <c r="B88" s="9">
        <f>(($G$22*(1+Assumptions!F8)/0.05-$G$27-$G$29-$G$31)/$B$10/50)^0.2-1+$C$46/50</f>
        <v>0.26597400841441732</v>
      </c>
      <c r="C88" s="9">
        <f>(($G$22*(1+Assumptions!F8)/0.05-$G$27-$G$29-$G$31)/$B$10/55)^0.2-1+$C$46/55</f>
        <v>0.2394775216452294</v>
      </c>
      <c r="D88" s="9">
        <f>(($G$22*(1+Assumptions!F8)/0.05-$G$27-$G$29-$G$31)/$B$10/60)^0.2-1+$C$46/60</f>
        <v>0.2159317190312455</v>
      </c>
      <c r="E88" s="9">
        <f>(($G$22*(1+Assumptions!F8)/0.05-$G$27-$G$29-$G$31)/$B$10/62)^0.2-1+$C$46/62</f>
        <v>0.20721212487431814</v>
      </c>
      <c r="F88" s="9">
        <f>(($G$22*(1+Assumptions!F8)/0.05-$G$27-$G$29-$G$31)/$B$10/65)^0.2-1+$C$46/65</f>
        <v>0.19479014326184085</v>
      </c>
      <c r="G88" s="9">
        <f>(($G$22*(1+Assumptions!F8)/0.05-$G$27-$G$29-$G$31)/$B$10/70)^0.2-1+$C$46/70</f>
        <v>0.17564143332693019</v>
      </c>
      <c r="H88" s="9">
        <f>(($G$22*(1+Assumptions!F8)/0.05-$G$27-$G$29-$G$31)/$B$10/75)^0.2-1+$C$46/75</f>
        <v>0.15816876407582733</v>
      </c>
    </row>
    <row r="89" spans="1:8" ht="15" customHeight="1" x14ac:dyDescent="0.2">
      <c r="A89" s="25">
        <v>4.7500000000000001E-2</v>
      </c>
      <c r="B89" s="9">
        <f>(($G$22*(1+Assumptions!F8)/0.0475-$G$27-$G$29-$G$31)/$B$10/50)^0.2-1+$C$46/50</f>
        <v>0.2869882014722358</v>
      </c>
      <c r="C89" s="9">
        <f>(($G$22*(1+Assumptions!F8)/0.0475-$G$27-$G$29-$G$31)/$B$10/55)^0.2-1+$C$46/55</f>
        <v>0.26009493512701765</v>
      </c>
      <c r="D89" s="9">
        <f>(($G$22*(1+Assumptions!F8)/0.0475-$G$27-$G$29-$G$31)/$B$10/60)^0.2-1+$C$46/60</f>
        <v>0.23619344645525817</v>
      </c>
      <c r="E89" s="9">
        <f>(($G$22*(1+Assumptions!F8)/0.0475-$G$27-$G$29-$G$31)/$B$10/62)^0.2-1+$C$46/62</f>
        <v>0.22734141135403238</v>
      </c>
      <c r="F89" s="9">
        <f>(($G$22*(1+Assumptions!F8)/0.0475-$G$27-$G$29-$G$31)/$B$10/65)^0.2-1+$C$46/65</f>
        <v>0.21473009245282948</v>
      </c>
      <c r="G89" s="9">
        <f>(($G$22*(1+Assumptions!F8)/0.0475-$G$27-$G$29-$G$31)/$B$10/70)^0.2-1+$C$46/70</f>
        <v>0.19528802009790583</v>
      </c>
      <c r="H89" s="9">
        <f>(($G$22*(1+Assumptions!F8)/0.0475-$G$27-$G$29-$G$31)/$B$10/75)^0.2-1+$C$46/75</f>
        <v>0.17754611774784632</v>
      </c>
    </row>
    <row r="90" spans="1:8" ht="15" customHeight="1" x14ac:dyDescent="0.2">
      <c r="A90" s="25">
        <v>4.4999999999999998E-2</v>
      </c>
      <c r="B90" s="9">
        <f>(($G$22*(1+Assumptions!F8)/0.045-$G$27-$G$29-$G$31)/$B$10/50)^0.2-1+$C$46/50</f>
        <v>0.30879248585420638</v>
      </c>
      <c r="C90" s="9">
        <f>(($G$22*(1+Assumptions!F8)/0.045-$G$27-$G$29-$G$31)/$B$10/55)^0.2-1+$C$46/55</f>
        <v>0.28148752182024417</v>
      </c>
      <c r="D90" s="9">
        <f>(($G$22*(1+Assumptions!F8)/0.045-$G$27-$G$29-$G$31)/$B$10/60)^0.2-1+$C$46/60</f>
        <v>0.25721697401149557</v>
      </c>
      <c r="E90" s="9">
        <f>(($G$22*(1+Assumptions!F8)/0.045-$G$27-$G$29-$G$31)/$B$10/62)^0.2-1+$C$46/62</f>
        <v>0.2482275184532787</v>
      </c>
      <c r="F90" s="9">
        <f>(($G$22*(1+Assumptions!F8)/0.045-$G$27-$G$29-$G$31)/$B$10/65)^0.2-1+$C$46/65</f>
        <v>0.23541974356273032</v>
      </c>
      <c r="G90" s="9">
        <f>(($G$22*(1+Assumptions!F8)/0.045-$G$27-$G$29-$G$31)/$B$10/70)^0.2-1+$C$46/70</f>
        <v>0.2156732789518038</v>
      </c>
      <c r="H90" s="9">
        <f>(($G$22*(1+Assumptions!F8)/0.045-$G$27-$G$29-$G$31)/$B$10/75)^0.2-1+$C$46/75</f>
        <v>0.19765202088065867</v>
      </c>
    </row>
    <row r="91" spans="1:8" ht="15" customHeight="1" x14ac:dyDescent="0.2">
      <c r="A91" s="25">
        <v>4.2500000000000003E-2</v>
      </c>
      <c r="B91" s="9">
        <f>(($G$22*(1+Assumptions!F8)/0.0425-$G$27-$G$29-$G$31)/$B$10/50)^0.2-1+$C$46/50</f>
        <v>0.33151527078294385</v>
      </c>
      <c r="C91" s="9">
        <f>(($G$22*(1+Assumptions!F8)/0.0425-$G$27-$G$29-$G$31)/$B$10/55)^0.2-1+$C$46/55</f>
        <v>0.30378126638823866</v>
      </c>
      <c r="D91" s="9">
        <f>(($G$22*(1+Assumptions!F8)/0.0425-$G$27-$G$29-$G$31)/$B$10/60)^0.2-1+$C$46/60</f>
        <v>0.27912611290984835</v>
      </c>
      <c r="E91" s="9">
        <f>(($G$22*(1+Assumptions!F8)/0.0425-$G$27-$G$29-$G$31)/$B$10/62)^0.2-1+$C$46/62</f>
        <v>0.26999344808897852</v>
      </c>
      <c r="F91" s="9">
        <f>(($G$22*(1+Assumptions!F8)/0.0425-$G$27-$G$29-$G$31)/$B$10/65)^0.2-1+$C$46/65</f>
        <v>0.25698094154497753</v>
      </c>
      <c r="G91" s="9">
        <f>(($G$22*(1+Assumptions!F8)/0.0425-$G$27-$G$29-$G$31)/$B$10/70)^0.2-1+$C$46/70</f>
        <v>0.2369172622231274</v>
      </c>
      <c r="H91" s="9">
        <f>(($G$22*(1+Assumptions!F8)/0.0425-$G$27-$G$29-$G$31)/$B$10/75)^0.2-1+$C$46/75</f>
        <v>0.21860488063434544</v>
      </c>
    </row>
    <row r="92" spans="1:8" ht="15" customHeight="1" x14ac:dyDescent="0.2">
      <c r="A92" s="25">
        <v>0.04</v>
      </c>
      <c r="B92" s="9">
        <f>(($G$22*(1+Assumptions!F8)/0.04-$G$27-$G$29-$G$31)/$B$10/50)^0.2-1+$C$46/50</f>
        <v>0.35530719583882275</v>
      </c>
      <c r="C92" s="9">
        <f>(($G$22*(1+Assumptions!F8)/0.04-$G$27-$G$29-$G$31)/$B$10/55)^0.2-1+$C$46/55</f>
        <v>0.32712396410949451</v>
      </c>
      <c r="D92" s="9">
        <f>(($G$22*(1+Assumptions!F8)/0.04-$G$27-$G$29-$G$31)/$B$10/60)^0.2-1+$C$46/60</f>
        <v>0.30206610870451911</v>
      </c>
      <c r="E92" s="9">
        <f>(($G$22*(1+Assumptions!F8)/0.04-$G$27-$G$29-$G$31)/$B$10/62)^0.2-1+$C$46/62</f>
        <v>0.29278349641660117</v>
      </c>
      <c r="F92" s="9">
        <f>(($G$22*(1+Assumptions!F8)/0.04-$G$27-$G$29-$G$31)/$B$10/65)^0.2-1+$C$46/65</f>
        <v>0.27955662529665659</v>
      </c>
      <c r="G92" s="9">
        <f>(($G$22*(1+Assumptions!F8)/0.04-$G$27-$G$29-$G$31)/$B$10/70)^0.2-1+$C$46/70</f>
        <v>0.25916080584970336</v>
      </c>
      <c r="H92" s="9">
        <f>(($G$22*(1+Assumptions!F8)/0.04-$G$27-$G$29-$G$31)/$B$10/75)^0.2-1+$C$46/75</f>
        <v>0.24054360295775165</v>
      </c>
    </row>
    <row r="95" spans="1:8" ht="15" customHeight="1" x14ac:dyDescent="0.2">
      <c r="A95" s="3" t="s">
        <v>214</v>
      </c>
    </row>
    <row r="96" spans="1:8" ht="15" customHeight="1" x14ac:dyDescent="0.2">
      <c r="A96" s="4" t="s">
        <v>215</v>
      </c>
    </row>
    <row r="98" spans="1:4" ht="15" customHeight="1" x14ac:dyDescent="0.2">
      <c r="B98" s="7" t="s">
        <v>216</v>
      </c>
      <c r="C98" s="7" t="s">
        <v>3</v>
      </c>
      <c r="D98" s="7" t="s">
        <v>4</v>
      </c>
    </row>
    <row r="100" spans="1:4" ht="15" customHeight="1" x14ac:dyDescent="0.2">
      <c r="A100" s="3" t="s">
        <v>217</v>
      </c>
    </row>
    <row r="101" spans="1:4" ht="15" customHeight="1" x14ac:dyDescent="0.2">
      <c r="A101" s="8" t="s">
        <v>218</v>
      </c>
      <c r="B101" s="13">
        <v>35000</v>
      </c>
      <c r="C101" s="13">
        <v>0</v>
      </c>
      <c r="D101" s="13">
        <v>0</v>
      </c>
    </row>
    <row r="102" spans="1:4" ht="15" customHeight="1" x14ac:dyDescent="0.2">
      <c r="A102" s="8" t="s">
        <v>219</v>
      </c>
      <c r="B102" s="10">
        <v>0.6</v>
      </c>
      <c r="C102" s="10">
        <v>0.6</v>
      </c>
      <c r="D102" s="10">
        <v>0.6</v>
      </c>
    </row>
    <row r="104" spans="1:4" ht="15" customHeight="1" x14ac:dyDescent="0.2">
      <c r="A104" s="3" t="s">
        <v>220</v>
      </c>
    </row>
    <row r="105" spans="1:4" ht="15" customHeight="1" x14ac:dyDescent="0.2">
      <c r="A105" s="8" t="s">
        <v>221</v>
      </c>
      <c r="B105" s="14">
        <f>B101*(1-B102)</f>
        <v>14000</v>
      </c>
      <c r="C105" s="14">
        <f>C101*(1-C102)</f>
        <v>0</v>
      </c>
      <c r="D105" s="14">
        <f>D101*(1-D102)</f>
        <v>0</v>
      </c>
    </row>
    <row r="106" spans="1:4" ht="15" customHeight="1" x14ac:dyDescent="0.2">
      <c r="A106" s="8" t="s">
        <v>222</v>
      </c>
      <c r="B106" s="14">
        <f>B101*B102</f>
        <v>21000</v>
      </c>
      <c r="C106" s="14">
        <f>C101*C102</f>
        <v>0</v>
      </c>
      <c r="D106" s="14">
        <f>D101*D102</f>
        <v>0</v>
      </c>
    </row>
    <row r="108" spans="1:4" ht="15" customHeight="1" x14ac:dyDescent="0.2">
      <c r="A108" s="3" t="s">
        <v>223</v>
      </c>
    </row>
    <row r="109" spans="1:4" ht="15" customHeight="1" x14ac:dyDescent="0.2">
      <c r="A109" s="8" t="s">
        <v>224</v>
      </c>
      <c r="B109" s="19">
        <f>IS!L20</f>
        <v>417561</v>
      </c>
      <c r="C109" s="19">
        <f>IS!M20</f>
        <v>432769.87044810236</v>
      </c>
      <c r="D109" s="19">
        <f>IS!N20</f>
        <v>455126.51169927896</v>
      </c>
    </row>
    <row r="111" spans="1:4" ht="15" customHeight="1" x14ac:dyDescent="0.2">
      <c r="A111" s="3" t="s">
        <v>225</v>
      </c>
    </row>
    <row r="112" spans="1:4" ht="15" customHeight="1" x14ac:dyDescent="0.2">
      <c r="A112" s="8" t="s">
        <v>226</v>
      </c>
      <c r="B112" s="11">
        <f>B34</f>
        <v>100.71969358584957</v>
      </c>
      <c r="C112" s="11">
        <f>C34</f>
        <v>103.22175458185939</v>
      </c>
      <c r="D112" s="11">
        <f>D34</f>
        <v>110.44192710700926</v>
      </c>
    </row>
    <row r="113" spans="1:5" ht="15" customHeight="1" x14ac:dyDescent="0.2">
      <c r="A113" s="8" t="s">
        <v>227</v>
      </c>
      <c r="C113" s="9">
        <f>IF(B112&lt;&gt;0,C112/B112-1,0)</f>
        <v>2.4841824939401347E-2</v>
      </c>
      <c r="D113" s="9">
        <f>IF(C112&lt;&gt;0,D112/C112-1,0)</f>
        <v>6.9948166976991022E-2</v>
      </c>
    </row>
    <row r="115" spans="1:5" ht="15" customHeight="1" x14ac:dyDescent="0.2">
      <c r="A115" s="3" t="s">
        <v>228</v>
      </c>
    </row>
    <row r="116" spans="1:5" ht="15" customHeight="1" x14ac:dyDescent="0.2">
      <c r="A116" s="8" t="s">
        <v>229</v>
      </c>
      <c r="B116" s="22">
        <f>FFO_AFFO!L19</f>
        <v>4.6570633368436889</v>
      </c>
      <c r="C116" s="22">
        <f>FFO_AFFO!M19</f>
        <v>4.6941685798574122</v>
      </c>
      <c r="D116" s="22">
        <f>FFO_AFFO!N19</f>
        <v>5.046744089354215</v>
      </c>
    </row>
    <row r="117" spans="1:5" ht="15" customHeight="1" x14ac:dyDescent="0.2">
      <c r="A117" s="8" t="s">
        <v>230</v>
      </c>
      <c r="B117" s="22">
        <f>FFO_AFFO!L29</f>
        <v>3.9988716714307206</v>
      </c>
      <c r="C117" s="22">
        <f>FFO_AFFO!M29</f>
        <v>4.0075556968055048</v>
      </c>
      <c r="D117" s="22">
        <f>FFO_AFFO!N29</f>
        <v>4.3491868660896751</v>
      </c>
    </row>
    <row r="118" spans="1:5" ht="15" customHeight="1" x14ac:dyDescent="0.2">
      <c r="A118" s="8" t="s">
        <v>231</v>
      </c>
      <c r="B118" s="9">
        <f>IF(B117&lt;&gt;0,B46/B117,0)</f>
        <v>0.40011286469404267</v>
      </c>
      <c r="C118" s="9">
        <f>IF(C117&lt;&gt;0,C46/C117,0)</f>
        <v>0.44915158669780003</v>
      </c>
      <c r="D118" s="9">
        <f>IF(D117&lt;&gt;0,D46/D117,0)</f>
        <v>0.42536686901736248</v>
      </c>
    </row>
    <row r="119" spans="1:5" ht="15" customHeight="1" x14ac:dyDescent="0.2">
      <c r="A119" s="8" t="s">
        <v>232</v>
      </c>
      <c r="B119" s="26">
        <f>BS!L55</f>
        <v>9.2652765415034111</v>
      </c>
      <c r="C119" s="26">
        <f>BS!M55</f>
        <v>9.5868207641896408</v>
      </c>
      <c r="D119" s="26">
        <f>BS!N55</f>
        <v>9.4311741996277014</v>
      </c>
    </row>
    <row r="120" spans="1:5" ht="15" customHeight="1" x14ac:dyDescent="0.2">
      <c r="A120" s="3" t="s">
        <v>233</v>
      </c>
    </row>
    <row r="121" spans="1:5" ht="15" customHeight="1" x14ac:dyDescent="0.2">
      <c r="A121" s="4" t="s">
        <v>234</v>
      </c>
    </row>
    <row r="123" spans="1:5" ht="15" customHeight="1" x14ac:dyDescent="0.2">
      <c r="B123" s="7" t="s">
        <v>216</v>
      </c>
      <c r="C123" s="7" t="s">
        <v>3</v>
      </c>
      <c r="D123" s="7" t="s">
        <v>4</v>
      </c>
      <c r="E123" s="7" t="s">
        <v>235</v>
      </c>
    </row>
    <row r="124" spans="1:5" ht="15" customHeight="1" x14ac:dyDescent="0.2">
      <c r="A124" s="8" t="s">
        <v>236</v>
      </c>
      <c r="B124" s="19">
        <f>CFS!L18</f>
        <v>230000</v>
      </c>
      <c r="C124" s="19">
        <f>CFS!M18</f>
        <v>246999.18530640006</v>
      </c>
      <c r="D124" s="19">
        <f>CFS!N18</f>
        <v>265791.45996257965</v>
      </c>
      <c r="E124" s="4" t="s">
        <v>237</v>
      </c>
    </row>
    <row r="125" spans="1:5" ht="15" customHeight="1" x14ac:dyDescent="0.2">
      <c r="A125" s="8" t="s">
        <v>238</v>
      </c>
      <c r="B125" s="19">
        <f>B106</f>
        <v>21000</v>
      </c>
      <c r="C125" s="19">
        <f>C106</f>
        <v>0</v>
      </c>
      <c r="D125" s="19">
        <f>D106</f>
        <v>0</v>
      </c>
      <c r="E125" s="4" t="s">
        <v>239</v>
      </c>
    </row>
    <row r="126" spans="1:5" ht="15" customHeight="1" x14ac:dyDescent="0.2">
      <c r="A126" s="8" t="s">
        <v>240</v>
      </c>
      <c r="B126" s="19">
        <f>CFS!L35</f>
        <v>-131089</v>
      </c>
      <c r="C126" s="19">
        <f>CFS!M35</f>
        <v>-155099.31111111108</v>
      </c>
      <c r="D126" s="19">
        <f>CFS!N35</f>
        <v>-162528.84</v>
      </c>
      <c r="E126" s="4" t="s">
        <v>241</v>
      </c>
    </row>
    <row r="127" spans="1:5" ht="15" customHeight="1" x14ac:dyDescent="0.2">
      <c r="A127" s="8" t="s">
        <v>242</v>
      </c>
      <c r="B127" s="19">
        <f>CFS!L23</f>
        <v>-78641</v>
      </c>
      <c r="C127" s="19">
        <f>CFS!M23</f>
        <v>-80000</v>
      </c>
      <c r="D127" s="19">
        <f>CFS!N23</f>
        <v>-82000</v>
      </c>
      <c r="E127" s="4" t="s">
        <v>243</v>
      </c>
    </row>
    <row r="128" spans="1:5" ht="15" customHeight="1" x14ac:dyDescent="0.2">
      <c r="A128" s="8" t="s">
        <v>244</v>
      </c>
      <c r="B128" s="19">
        <f>CFS!L27</f>
        <v>-77219</v>
      </c>
      <c r="C128" s="19">
        <f>CFS!M27</f>
        <v>-95940</v>
      </c>
      <c r="D128" s="19">
        <f>CFS!N27</f>
        <v>-98605</v>
      </c>
      <c r="E128" s="4" t="s">
        <v>245</v>
      </c>
    </row>
    <row r="129" spans="1:5" ht="15" customHeight="1" x14ac:dyDescent="0.2">
      <c r="A129" s="8" t="s">
        <v>246</v>
      </c>
      <c r="B129" s="14">
        <f>SUM(B124:B128)</f>
        <v>-35949</v>
      </c>
      <c r="C129" s="14">
        <f>SUM(C124:C128)</f>
        <v>-84040.125804711017</v>
      </c>
      <c r="D129" s="14">
        <f>SUM(D124:D128)</f>
        <v>-77342.380037420342</v>
      </c>
      <c r="E129" s="4" t="s">
        <v>247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94"/>
  <sheetViews>
    <sheetView zoomScaleNormal="100" workbookViewId="0"/>
  </sheetViews>
  <sheetFormatPr baseColWidth="10" defaultColWidth="8.6640625" defaultRowHeight="15" x14ac:dyDescent="0.2"/>
  <cols>
    <col min="1" max="1" width="44" customWidth="1"/>
    <col min="2" max="19" width="13" customWidth="1"/>
  </cols>
  <sheetData>
    <row r="1" spans="1:7" ht="15" customHeight="1" x14ac:dyDescent="0.2">
      <c r="A1" s="38" t="s">
        <v>0</v>
      </c>
    </row>
    <row r="2" spans="1:7" ht="15" customHeight="1" x14ac:dyDescent="0.2">
      <c r="A2" s="39" t="s">
        <v>755</v>
      </c>
    </row>
    <row r="3" spans="1:7" ht="15" customHeight="1" x14ac:dyDescent="0.2">
      <c r="A3" s="40" t="s">
        <v>153</v>
      </c>
    </row>
    <row r="5" spans="1:7" ht="15" customHeight="1" x14ac:dyDescent="0.2">
      <c r="B5" s="41" t="s">
        <v>216</v>
      </c>
      <c r="C5" s="41" t="s">
        <v>3</v>
      </c>
      <c r="D5" s="41" t="s">
        <v>4</v>
      </c>
      <c r="E5" s="41" t="s">
        <v>5</v>
      </c>
      <c r="F5" s="41" t="s">
        <v>6</v>
      </c>
      <c r="G5" s="41" t="s">
        <v>7</v>
      </c>
    </row>
    <row r="7" spans="1:7" ht="15" customHeight="1" x14ac:dyDescent="0.2">
      <c r="A7" s="39" t="s">
        <v>756</v>
      </c>
    </row>
    <row r="8" spans="1:7" ht="15" customHeight="1" x14ac:dyDescent="0.2">
      <c r="A8" s="42" t="s">
        <v>158</v>
      </c>
      <c r="B8" s="60">
        <v>75</v>
      </c>
      <c r="C8" s="40" t="s">
        <v>757</v>
      </c>
    </row>
    <row r="9" spans="1:7" ht="15" customHeight="1" x14ac:dyDescent="0.2">
      <c r="A9" s="42" t="s">
        <v>758</v>
      </c>
      <c r="B9" s="54">
        <v>4.4999999999999998E-2</v>
      </c>
      <c r="C9" s="40" t="s">
        <v>759</v>
      </c>
    </row>
    <row r="10" spans="1:7" ht="15" customHeight="1" x14ac:dyDescent="0.2">
      <c r="A10" s="42" t="s">
        <v>760</v>
      </c>
      <c r="B10" s="54">
        <v>4.4999999999999998E-2</v>
      </c>
      <c r="C10" s="40" t="s">
        <v>761</v>
      </c>
    </row>
    <row r="11" spans="1:7" ht="15" customHeight="1" x14ac:dyDescent="0.2">
      <c r="A11" s="42" t="s">
        <v>762</v>
      </c>
      <c r="B11" s="54">
        <v>3.5000000000000003E-2</v>
      </c>
      <c r="C11" s="40" t="s">
        <v>763</v>
      </c>
    </row>
    <row r="12" spans="1:7" ht="15" customHeight="1" x14ac:dyDescent="0.2">
      <c r="A12" s="42" t="s">
        <v>764</v>
      </c>
      <c r="B12" s="54">
        <v>4.8000000000000001E-2</v>
      </c>
      <c r="C12" s="40" t="s">
        <v>765</v>
      </c>
    </row>
    <row r="13" spans="1:7" ht="15" customHeight="1" x14ac:dyDescent="0.2">
      <c r="A13" s="42" t="s">
        <v>766</v>
      </c>
      <c r="B13" s="59">
        <v>5</v>
      </c>
    </row>
    <row r="15" spans="1:7" ht="15" customHeight="1" x14ac:dyDescent="0.2">
      <c r="A15" s="39" t="s">
        <v>767</v>
      </c>
    </row>
    <row r="16" spans="1:7" ht="15" customHeight="1" x14ac:dyDescent="0.2">
      <c r="A16" s="42" t="s">
        <v>160</v>
      </c>
      <c r="B16" s="45">
        <f>BS!L53</f>
        <v>44776</v>
      </c>
    </row>
    <row r="17" spans="1:7" ht="15" customHeight="1" x14ac:dyDescent="0.2">
      <c r="A17" s="42" t="s">
        <v>768</v>
      </c>
      <c r="B17" s="44">
        <f>B8*B16</f>
        <v>3358200</v>
      </c>
    </row>
    <row r="18" spans="1:7" ht="15" customHeight="1" x14ac:dyDescent="0.2">
      <c r="A18" s="42" t="s">
        <v>769</v>
      </c>
      <c r="B18" s="45">
        <f>BS!L50</f>
        <v>3445395</v>
      </c>
    </row>
    <row r="19" spans="1:7" ht="15" customHeight="1" x14ac:dyDescent="0.2">
      <c r="A19" s="42" t="s">
        <v>770</v>
      </c>
      <c r="B19" s="45">
        <f>-(BS!L20-BS!L8)</f>
        <v>-102000</v>
      </c>
    </row>
    <row r="20" spans="1:7" ht="15" customHeight="1" x14ac:dyDescent="0.2">
      <c r="A20" s="42" t="s">
        <v>771</v>
      </c>
      <c r="B20" s="44">
        <f>B17+B18+B19</f>
        <v>6701595</v>
      </c>
    </row>
    <row r="21" spans="1:7" ht="15" customHeight="1" x14ac:dyDescent="0.2">
      <c r="A21" s="42" t="s">
        <v>772</v>
      </c>
      <c r="B21" s="52">
        <f>IF(B20&lt;&gt;0,IS!L20/B20,0)</f>
        <v>6.2307704359932228E-2</v>
      </c>
    </row>
    <row r="23" spans="1:7" ht="15" customHeight="1" x14ac:dyDescent="0.2">
      <c r="A23" s="39" t="s">
        <v>773</v>
      </c>
    </row>
    <row r="24" spans="1:7" ht="15" customHeight="1" x14ac:dyDescent="0.2">
      <c r="A24" s="42" t="s">
        <v>165</v>
      </c>
      <c r="B24" s="45">
        <f>IS!L20</f>
        <v>417561</v>
      </c>
      <c r="C24" s="44">
        <f>B24*(1+$B$9)</f>
        <v>436351.245</v>
      </c>
      <c r="D24" s="44">
        <f>C24*(1+$B$9)</f>
        <v>455987.05102499994</v>
      </c>
      <c r="E24" s="44">
        <f>D24*(1+$B$9)</f>
        <v>476506.46832112491</v>
      </c>
      <c r="F24" s="44">
        <f>E24*(1+$B$9)</f>
        <v>497949.2593955755</v>
      </c>
      <c r="G24" s="44">
        <f>F24*(1+$B$9)</f>
        <v>520356.97606837639</v>
      </c>
    </row>
    <row r="25" spans="1:7" ht="15" customHeight="1" x14ac:dyDescent="0.2">
      <c r="A25" s="42" t="s">
        <v>774</v>
      </c>
      <c r="B25" s="45">
        <f>-IS!L26</f>
        <v>45700</v>
      </c>
      <c r="C25" s="44">
        <f>B25*(1+$B$10)</f>
        <v>47756.5</v>
      </c>
      <c r="D25" s="44">
        <f>C25*(1+$B$10)</f>
        <v>49905.542499999996</v>
      </c>
      <c r="E25" s="44">
        <f>D25*(1+$B$10)</f>
        <v>52151.29191249999</v>
      </c>
      <c r="F25" s="44">
        <f>E25*(1+$B$10)</f>
        <v>54498.100048562483</v>
      </c>
      <c r="G25" s="44">
        <f>F25*(1+$B$10)</f>
        <v>56950.514550747794</v>
      </c>
    </row>
    <row r="26" spans="1:7" ht="15" customHeight="1" x14ac:dyDescent="0.2">
      <c r="A26" s="42" t="s">
        <v>775</v>
      </c>
      <c r="B26" s="45">
        <f>CFS!L44</f>
        <v>119641</v>
      </c>
      <c r="C26" s="45">
        <f>BS!L50*$B$11</f>
        <v>120588.82500000001</v>
      </c>
      <c r="D26" s="45">
        <f>BS!L50*$B$11</f>
        <v>120588.82500000001</v>
      </c>
      <c r="E26" s="45">
        <f>BS!L50*$B$11</f>
        <v>120588.82500000001</v>
      </c>
      <c r="F26" s="45">
        <f>BS!L50*$B$11</f>
        <v>120588.82500000001</v>
      </c>
      <c r="G26" s="45">
        <f>BS!L50*$B$11</f>
        <v>120588.82500000001</v>
      </c>
    </row>
    <row r="27" spans="1:7" ht="15" customHeight="1" x14ac:dyDescent="0.2">
      <c r="A27" s="42" t="s">
        <v>776</v>
      </c>
      <c r="B27" s="44">
        <f t="shared" ref="B27:G27" si="0">B24-B25-B26</f>
        <v>252220</v>
      </c>
      <c r="C27" s="44">
        <f t="shared" si="0"/>
        <v>268005.92</v>
      </c>
      <c r="D27" s="44">
        <f t="shared" si="0"/>
        <v>285492.68352499994</v>
      </c>
      <c r="E27" s="44">
        <f t="shared" si="0"/>
        <v>303766.35140862491</v>
      </c>
      <c r="F27" s="44">
        <f t="shared" si="0"/>
        <v>322862.33434701298</v>
      </c>
      <c r="G27" s="44">
        <f t="shared" si="0"/>
        <v>342817.63651762856</v>
      </c>
    </row>
    <row r="28" spans="1:7" ht="15" customHeight="1" x14ac:dyDescent="0.2">
      <c r="A28" s="42" t="s">
        <v>777</v>
      </c>
      <c r="B28" s="45">
        <f>-CFS!L35</f>
        <v>131089</v>
      </c>
      <c r="C28" s="44">
        <f>B28*(1+$B$9)</f>
        <v>136988.005</v>
      </c>
      <c r="D28" s="44">
        <f>C28*(1+$B$9)</f>
        <v>143152.46522499999</v>
      </c>
      <c r="E28" s="44">
        <f>D28*(1+$B$9)</f>
        <v>149594.32616012497</v>
      </c>
      <c r="F28" s="44">
        <f>E28*(1+$B$9)</f>
        <v>156326.07083733057</v>
      </c>
      <c r="G28" s="44">
        <f>F28*(1+$B$9)</f>
        <v>163360.74402501044</v>
      </c>
    </row>
    <row r="29" spans="1:7" ht="15" customHeight="1" x14ac:dyDescent="0.2">
      <c r="A29" s="42" t="s">
        <v>392</v>
      </c>
      <c r="B29" s="44">
        <f t="shared" ref="B29:G29" si="1">B27-B28</f>
        <v>121131</v>
      </c>
      <c r="C29" s="44">
        <f t="shared" si="1"/>
        <v>131017.91499999998</v>
      </c>
      <c r="D29" s="44">
        <f t="shared" si="1"/>
        <v>142340.21829999995</v>
      </c>
      <c r="E29" s="44">
        <f t="shared" si="1"/>
        <v>154172.02524849994</v>
      </c>
      <c r="F29" s="44">
        <f t="shared" si="1"/>
        <v>166536.26350968241</v>
      </c>
      <c r="G29" s="44">
        <f t="shared" si="1"/>
        <v>179456.89249261812</v>
      </c>
    </row>
    <row r="32" spans="1:7" ht="15" customHeight="1" x14ac:dyDescent="0.2">
      <c r="A32" s="39" t="s">
        <v>778</v>
      </c>
    </row>
    <row r="33" spans="1:7" ht="15" customHeight="1" x14ac:dyDescent="0.2">
      <c r="A33" s="42" t="s">
        <v>779</v>
      </c>
      <c r="B33" s="44">
        <f>G24*(1+B9)</f>
        <v>543773.03999145329</v>
      </c>
    </row>
    <row r="34" spans="1:7" ht="15" customHeight="1" x14ac:dyDescent="0.2">
      <c r="A34" s="42" t="s">
        <v>780</v>
      </c>
      <c r="B34" s="44">
        <f>IF(B12&lt;&gt;0,B33/B12,0)</f>
        <v>11328604.999821944</v>
      </c>
    </row>
    <row r="35" spans="1:7" ht="15" customHeight="1" x14ac:dyDescent="0.2">
      <c r="A35" s="42" t="s">
        <v>781</v>
      </c>
      <c r="B35" s="45">
        <f>-BS!L50</f>
        <v>-3445395</v>
      </c>
    </row>
    <row r="36" spans="1:7" ht="15" customHeight="1" x14ac:dyDescent="0.2">
      <c r="A36" s="42" t="s">
        <v>782</v>
      </c>
      <c r="B36" s="44">
        <f>B34+B35</f>
        <v>7883209.9998219442</v>
      </c>
    </row>
    <row r="37" spans="1:7" ht="15" customHeight="1" x14ac:dyDescent="0.2">
      <c r="A37" s="42" t="s">
        <v>783</v>
      </c>
      <c r="B37" s="57">
        <f>IF(B16&lt;&gt;0,B36/B16,0)</f>
        <v>176.05882615289315</v>
      </c>
    </row>
    <row r="39" spans="1:7" ht="15" customHeight="1" x14ac:dyDescent="0.2">
      <c r="A39" s="39" t="s">
        <v>784</v>
      </c>
    </row>
    <row r="40" spans="1:7" ht="15" customHeight="1" x14ac:dyDescent="0.2">
      <c r="A40" s="42" t="s">
        <v>785</v>
      </c>
      <c r="B40" s="44">
        <f>-B17</f>
        <v>-3358200</v>
      </c>
    </row>
    <row r="41" spans="1:7" ht="15" customHeight="1" x14ac:dyDescent="0.2">
      <c r="A41" s="42" t="s">
        <v>786</v>
      </c>
      <c r="C41" s="44">
        <f>C29</f>
        <v>131017.91499999998</v>
      </c>
      <c r="D41" s="44">
        <f>D29</f>
        <v>142340.21829999995</v>
      </c>
      <c r="E41" s="44">
        <f>E29</f>
        <v>154172.02524849994</v>
      </c>
      <c r="F41" s="44">
        <f>F29</f>
        <v>166536.26350968241</v>
      </c>
      <c r="G41" s="44">
        <f>G29</f>
        <v>179456.89249261812</v>
      </c>
    </row>
    <row r="42" spans="1:7" ht="15" customHeight="1" x14ac:dyDescent="0.2">
      <c r="A42" s="42" t="s">
        <v>787</v>
      </c>
      <c r="G42" s="44">
        <f>B36</f>
        <v>7883209.9998219442</v>
      </c>
    </row>
    <row r="43" spans="1:7" ht="15" customHeight="1" x14ac:dyDescent="0.2">
      <c r="A43" s="42" t="s">
        <v>788</v>
      </c>
      <c r="B43" s="44">
        <f>B40</f>
        <v>-3358200</v>
      </c>
      <c r="C43" s="44">
        <f>C41</f>
        <v>131017.91499999998</v>
      </c>
      <c r="D43" s="44">
        <f>D41</f>
        <v>142340.21829999995</v>
      </c>
      <c r="E43" s="44">
        <f>E41</f>
        <v>154172.02524849994</v>
      </c>
      <c r="F43" s="44">
        <f>F41</f>
        <v>166536.26350968241</v>
      </c>
      <c r="G43" s="44">
        <f>G41+G42</f>
        <v>8062666.8923145626</v>
      </c>
    </row>
    <row r="44" spans="1:7" ht="15" customHeight="1" x14ac:dyDescent="0.2">
      <c r="A44" s="39" t="s">
        <v>789</v>
      </c>
      <c r="B44" s="49">
        <f>IRR(B43:G43)</f>
        <v>0.21908015044082552</v>
      </c>
    </row>
    <row r="48" spans="1:7" ht="15" customHeight="1" x14ac:dyDescent="0.2">
      <c r="A48" s="39" t="s">
        <v>790</v>
      </c>
    </row>
    <row r="49" spans="1:8" ht="15" customHeight="1" x14ac:dyDescent="0.2">
      <c r="B49" s="61">
        <v>55</v>
      </c>
      <c r="C49" s="61">
        <v>60</v>
      </c>
      <c r="D49" s="61">
        <v>65</v>
      </c>
      <c r="E49" s="61">
        <v>70</v>
      </c>
      <c r="F49" s="61">
        <v>75</v>
      </c>
      <c r="G49" s="61">
        <v>80</v>
      </c>
      <c r="H49" s="61">
        <v>85</v>
      </c>
    </row>
    <row r="50" spans="1:8" ht="15" customHeight="1" x14ac:dyDescent="0.2">
      <c r="A50" s="58">
        <v>5.5E-2</v>
      </c>
      <c r="B50" s="50">
        <f>((B33/0.055-BS!L50)/(55*B16))^(1/5)-1+IS!L20*0.4/(B16*55)</f>
        <v>0.27985477638606426</v>
      </c>
      <c r="C50" s="50">
        <f>((B33/0.055-BS!L50)/(60*B16))^(1/5)-1+IS!L20*0.4/(B16*60)</f>
        <v>0.25329326655276446</v>
      </c>
      <c r="D50" s="50">
        <f>((B33/0.055-BS!L50)/(65*B16))^(1/5)-1+IS!L20*0.4/(B16*65)</f>
        <v>0.22959460606531701</v>
      </c>
      <c r="E50" s="50">
        <f>((B33/0.055-BS!L50)/(70*B16))^(1/5)-1+IS!L20*0.4/(B16*70)</f>
        <v>0.20824961216125204</v>
      </c>
      <c r="F50" s="50">
        <f>((B33/0.055-BS!L50)/(75*B16))^(1/5)-1+IS!L20*0.4/(B16*75)</f>
        <v>0.18886965737635128</v>
      </c>
      <c r="G50" s="50">
        <f>((B33/0.055-BS!L50)/(80*B16))^(1/5)-1+IS!L20*0.4/(B16*80)</f>
        <v>0.1711520306643606</v>
      </c>
      <c r="H50" s="50">
        <f>((B33/0.055-BS!L50)/(85*B16))^(1/5)-1+IS!L20*0.4/(B16*85)</f>
        <v>0.15485677630416139</v>
      </c>
    </row>
    <row r="51" spans="1:8" ht="15" customHeight="1" x14ac:dyDescent="0.2">
      <c r="A51" s="58">
        <v>0.05</v>
      </c>
      <c r="B51" s="50">
        <f>((B33/0.05-BS!L50)/(55*B16))^(1/5)-1+IS!L20*0.4/(B16*55)</f>
        <v>0.31496716799078828</v>
      </c>
      <c r="C51" s="50">
        <f>((B33/0.05-BS!L50)/(60*B16))^(1/5)-1+IS!L20*0.4/(B16*60)</f>
        <v>0.2877999086457958</v>
      </c>
      <c r="D51" s="50">
        <f>((B33/0.05-BS!L50)/(65*B16))^(1/5)-1+IS!L20*0.4/(B16*65)</f>
        <v>0.26355324521230516</v>
      </c>
      <c r="E51" s="50">
        <f>((B33/0.05-BS!L50)/(70*B16))^(1/5)-1+IS!L20*0.4/(B16*70)</f>
        <v>0.24170864178240392</v>
      </c>
      <c r="F51" s="50">
        <f>((B33/0.05-BS!L50)/(75*B16))^(1/5)-1+IS!L20*0.4/(B16*75)</f>
        <v>0.22187017080138213</v>
      </c>
      <c r="G51" s="50">
        <f>((B33/0.05-BS!L50)/(80*B16))^(1/5)-1+IS!L20*0.4/(B16*80)</f>
        <v>0.20372932052111462</v>
      </c>
      <c r="H51" s="50">
        <f>((B33/0.05-BS!L50)/(85*B16))^(1/5)-1+IS!L20*0.4/(B16*85)</f>
        <v>0.18704145399180694</v>
      </c>
    </row>
    <row r="52" spans="1:8" ht="15" customHeight="1" x14ac:dyDescent="0.2">
      <c r="A52" s="58">
        <v>4.8000000000000001E-2</v>
      </c>
      <c r="B52" s="50">
        <f>((B33/0.048-BS!L50)/(55*B16))^(1/5)-1+IS!L20*0.4/(B16*55)</f>
        <v>0.32982124398291057</v>
      </c>
      <c r="C52" s="50">
        <f>((B33/0.048-BS!L50)/(60*B16))^(1/5)-1+IS!L20*0.4/(B16*60)</f>
        <v>0.30239772612439503</v>
      </c>
      <c r="D52" s="50">
        <f>((B33/0.048-BS!L50)/(65*B16))^(1/5)-1+IS!L20*0.4/(B16*65)</f>
        <v>0.27791923349806369</v>
      </c>
      <c r="E52" s="50">
        <f>((B33/0.048-BS!L50)/(70*B16))^(1/5)-1+IS!L20*0.4/(B16*70)</f>
        <v>0.25586327340676762</v>
      </c>
      <c r="F52" s="50">
        <f>((B33/0.048-BS!L50)/(75*B16))^(1/5)-1+IS!L20*0.4/(B16*75)</f>
        <v>0.23583083003851921</v>
      </c>
      <c r="G52" s="50">
        <f>((B33/0.048-BS!L50)/(80*B16))^(1/5)-1+IS!L20*0.4/(B16*80)</f>
        <v>0.21751093769482258</v>
      </c>
      <c r="H52" s="50">
        <f>((B33/0.048-BS!L50)/(85*B16))^(1/5)-1+IS!L20*0.4/(B16*85)</f>
        <v>0.20065697906159274</v>
      </c>
    </row>
    <row r="53" spans="1:8" ht="15" customHeight="1" x14ac:dyDescent="0.2">
      <c r="A53" s="58">
        <v>4.4999999999999998E-2</v>
      </c>
      <c r="B53" s="50">
        <f>((B33/0.045-BS!L50)/(55*B16))^(1/5)-1+IS!L20*0.4/(B16*55)</f>
        <v>0.35312535858684291</v>
      </c>
      <c r="C53" s="50">
        <f>((B33/0.045-BS!L50)/(60*B16))^(1/5)-1+IS!L20*0.4/(B16*60)</f>
        <v>0.32529980442727785</v>
      </c>
      <c r="D53" s="50">
        <f>((B33/0.045-BS!L50)/(65*B16))^(1/5)-1+IS!L20*0.4/(B16*65)</f>
        <v>0.3004576019288977</v>
      </c>
      <c r="E53" s="50">
        <f>((B33/0.045-BS!L50)/(70*B16))^(1/5)-1+IS!L20*0.4/(B16*70)</f>
        <v>0.2780700507065168</v>
      </c>
      <c r="F53" s="50">
        <f>((B33/0.045-BS!L50)/(75*B16))^(1/5)-1+IS!L20*0.4/(B16*75)</f>
        <v>0.25773328987386823</v>
      </c>
      <c r="G53" s="50">
        <f>((B33/0.045-BS!L50)/(80*B16))^(1/5)-1+IS!L20*0.4/(B16*80)</f>
        <v>0.23913250380327214</v>
      </c>
      <c r="H53" s="50">
        <f>((B33/0.045-BS!L50)/(85*B16))^(1/5)-1+IS!L20*0.4/(B16*85)</f>
        <v>0.22201796824646525</v>
      </c>
    </row>
    <row r="54" spans="1:8" ht="15" customHeight="1" x14ac:dyDescent="0.2">
      <c r="A54" s="58">
        <v>0.04</v>
      </c>
      <c r="B54" s="50">
        <f>((B33/0.04-BS!L50)/(55*B16))^(1/5)-1+IS!L20*0.4/(B16*55)</f>
        <v>0.39522419660093167</v>
      </c>
      <c r="C54" s="50">
        <f>((B33/0.04-BS!L50)/(60*B16))^(1/5)-1+IS!L20*0.4/(B16*60)</f>
        <v>0.36667236464015812</v>
      </c>
      <c r="D54" s="50">
        <f>((B33/0.04-BS!L50)/(65*B16))^(1/5)-1+IS!L20*0.4/(B16*65)</f>
        <v>0.34117312096052121</v>
      </c>
      <c r="E54" s="50">
        <f>((B33/0.04-BS!L50)/(70*B16))^(1/5)-1+IS!L20*0.4/(B16*70)</f>
        <v>0.31818655100038917</v>
      </c>
      <c r="F54" s="50">
        <f>((B33/0.04-BS!L50)/(75*B16))^(1/5)-1+IS!L20*0.4/(B16*75)</f>
        <v>0.29730004125617016</v>
      </c>
      <c r="G54" s="50">
        <f>((B33/0.04-BS!L50)/(80*B16))^(1/5)-1+IS!L20*0.4/(B16*80)</f>
        <v>0.27819182121054881</v>
      </c>
      <c r="H54" s="50">
        <f>((B33/0.04-BS!L50)/(85*B16))^(1/5)-1+IS!L20*0.4/(B16*85)</f>
        <v>0.26060655394467125</v>
      </c>
    </row>
    <row r="58" spans="1:8" ht="15" customHeight="1" x14ac:dyDescent="0.2">
      <c r="A58" s="39" t="s">
        <v>791</v>
      </c>
    </row>
    <row r="59" spans="1:8" ht="15" customHeight="1" x14ac:dyDescent="0.2">
      <c r="A59" s="42" t="s">
        <v>792</v>
      </c>
      <c r="B59" s="45">
        <f>BS!L49</f>
        <v>3490395</v>
      </c>
    </row>
    <row r="60" spans="1:8" ht="15" customHeight="1" x14ac:dyDescent="0.2">
      <c r="A60" s="42" t="s">
        <v>571</v>
      </c>
      <c r="B60" s="45">
        <f>BS!L50</f>
        <v>3445395</v>
      </c>
    </row>
    <row r="61" spans="1:8" ht="15" customHeight="1" x14ac:dyDescent="0.2">
      <c r="A61" s="42" t="s">
        <v>793</v>
      </c>
      <c r="B61" s="49">
        <f>IF(B20&lt;&gt;0,B59/B20,0)</f>
        <v>0.52083048886123373</v>
      </c>
    </row>
    <row r="62" spans="1:8" ht="15" customHeight="1" x14ac:dyDescent="0.2">
      <c r="A62" s="42" t="s">
        <v>794</v>
      </c>
      <c r="B62" s="49">
        <f>1-B61</f>
        <v>0.47916951113876627</v>
      </c>
    </row>
    <row r="63" spans="1:8" ht="15" customHeight="1" x14ac:dyDescent="0.2">
      <c r="A63" s="42" t="s">
        <v>795</v>
      </c>
      <c r="B63" s="62">
        <f>IF(B26&lt;&gt;0,B24/B26,0)</f>
        <v>3.4901162644912698</v>
      </c>
    </row>
    <row r="70" spans="1:7" ht="15" customHeight="1" x14ac:dyDescent="0.2">
      <c r="A70" s="39" t="s">
        <v>796</v>
      </c>
    </row>
    <row r="71" spans="1:7" ht="15" customHeight="1" x14ac:dyDescent="0.2">
      <c r="A71" s="42" t="s">
        <v>797</v>
      </c>
      <c r="B71" s="57">
        <f>IF(B16&lt;&gt;0,B24/B16,0)</f>
        <v>9.3255538681436487</v>
      </c>
      <c r="C71" s="57">
        <f>IF(B16&lt;&gt;0,C24/B16,0)</f>
        <v>9.7452037922101127</v>
      </c>
      <c r="D71" s="57">
        <f>IF(B16&lt;&gt;0,D24/B16,0)</f>
        <v>10.183737962859567</v>
      </c>
      <c r="E71" s="57">
        <f>IF(B16&lt;&gt;0,E24/B16,0)</f>
        <v>10.642006171188246</v>
      </c>
      <c r="F71" s="57">
        <f>IF(B16&lt;&gt;0,F24/B16,0)</f>
        <v>11.120896448891717</v>
      </c>
      <c r="G71" s="57">
        <f>IF(B16&lt;&gt;0,G24/B16,0)</f>
        <v>11.621336789091844</v>
      </c>
    </row>
    <row r="72" spans="1:7" ht="15" customHeight="1" x14ac:dyDescent="0.2">
      <c r="A72" s="42" t="s">
        <v>798</v>
      </c>
      <c r="B72" s="57">
        <f>IF(B16&lt;&gt;0,B27/B16,0)</f>
        <v>5.6329283544756121</v>
      </c>
      <c r="C72" s="57">
        <f>IF(B16&lt;&gt;0,C27/B16,0)</f>
        <v>5.9854815079506878</v>
      </c>
      <c r="D72" s="57">
        <f>IF(B16&lt;&gt;0,D27/B16,0)</f>
        <v>6.3760202681123808</v>
      </c>
      <c r="E72" s="57">
        <f>IF(B16&lt;&gt;0,E27/B16,0)</f>
        <v>6.7841332724813492</v>
      </c>
      <c r="F72" s="57">
        <f>IF(B16&lt;&gt;0,F27/B16,0)</f>
        <v>7.2106113620469223</v>
      </c>
      <c r="G72" s="57">
        <f>IF(B16&lt;&gt;0,G27/B16,0)</f>
        <v>7.6562809656429467</v>
      </c>
    </row>
    <row r="73" spans="1:7" ht="15" customHeight="1" x14ac:dyDescent="0.2">
      <c r="A73" s="42" t="s">
        <v>799</v>
      </c>
      <c r="B73" s="57">
        <f>IF(B16&lt;&gt;0,B29/B16,0)</f>
        <v>2.7052662140432373</v>
      </c>
      <c r="C73" s="57">
        <f>IF(B16&lt;&gt;0,C29/B16,0)</f>
        <v>2.9260745711988561</v>
      </c>
      <c r="D73" s="57">
        <f>IF(B16&lt;&gt;0,D29/B16,0)</f>
        <v>3.1789400192067165</v>
      </c>
      <c r="E73" s="57">
        <f>IF(B16&lt;&gt;0,E29/B16,0)</f>
        <v>3.4431844123749316</v>
      </c>
      <c r="F73" s="57">
        <f>IF(B16&lt;&gt;0,F29/B16,0)</f>
        <v>3.7193198032357158</v>
      </c>
      <c r="G73" s="57">
        <f>IF(B16&lt;&gt;0,G29/B16,0)</f>
        <v>4.0078812866852358</v>
      </c>
    </row>
    <row r="74" spans="1:7" ht="15" customHeight="1" x14ac:dyDescent="0.2">
      <c r="A74" s="42" t="s">
        <v>284</v>
      </c>
      <c r="C74" s="49">
        <f>IF(B24&lt;&gt;0,C24/B24-1,0)</f>
        <v>4.4999999999999929E-2</v>
      </c>
      <c r="D74" s="49">
        <f>IF(C24&lt;&gt;0,D24/C24-1,0)</f>
        <v>4.4999999999999929E-2</v>
      </c>
      <c r="E74" s="49">
        <f>IF(D24&lt;&gt;0,E24/D24-1,0)</f>
        <v>4.4999999999999929E-2</v>
      </c>
      <c r="F74" s="49">
        <f>IF(E24&lt;&gt;0,F24/E24-1,0)</f>
        <v>4.4999999999999929E-2</v>
      </c>
      <c r="G74" s="49">
        <f>IF(F24&lt;&gt;0,G24/F24-1,0)</f>
        <v>4.4999999999999929E-2</v>
      </c>
    </row>
    <row r="75" spans="1:7" ht="15" customHeight="1" x14ac:dyDescent="0.2">
      <c r="A75" s="42" t="s">
        <v>375</v>
      </c>
      <c r="C75" s="49">
        <f>IF(B27&lt;&gt;0,C27/B27-1,0)</f>
        <v>6.2587899452858586E-2</v>
      </c>
      <c r="D75" s="49">
        <f>IF(C27&lt;&gt;0,D27/C27-1,0)</f>
        <v>6.5247676338641813E-2</v>
      </c>
      <c r="E75" s="49">
        <f>IF(D27&lt;&gt;0,E27/D27-1,0)</f>
        <v>6.400748228640607E-2</v>
      </c>
      <c r="F75" s="49">
        <f>IF(E27&lt;&gt;0,F27/E27-1,0)</f>
        <v>6.2864049457210136E-2</v>
      </c>
      <c r="G75" s="49">
        <f>IF(F27&lt;&gt;0,G27/F27-1,0)</f>
        <v>6.1807464196698803E-2</v>
      </c>
    </row>
    <row r="78" spans="1:7" ht="15" customHeight="1" x14ac:dyDescent="0.2">
      <c r="A78" s="39" t="s">
        <v>800</v>
      </c>
    </row>
    <row r="79" spans="1:7" ht="15" customHeight="1" x14ac:dyDescent="0.2">
      <c r="A79" s="42" t="s">
        <v>801</v>
      </c>
      <c r="B79" s="44">
        <f>B17</f>
        <v>3358200</v>
      </c>
    </row>
    <row r="80" spans="1:7" ht="15" customHeight="1" x14ac:dyDescent="0.2">
      <c r="A80" s="42" t="s">
        <v>802</v>
      </c>
      <c r="B80" s="44">
        <f t="shared" ref="B80:G80" si="2">B29</f>
        <v>121131</v>
      </c>
      <c r="C80" s="44">
        <f t="shared" si="2"/>
        <v>131017.91499999998</v>
      </c>
      <c r="D80" s="44">
        <f t="shared" si="2"/>
        <v>142340.21829999995</v>
      </c>
      <c r="E80" s="44">
        <f t="shared" si="2"/>
        <v>154172.02524849994</v>
      </c>
      <c r="F80" s="44">
        <f t="shared" si="2"/>
        <v>166536.26350968241</v>
      </c>
      <c r="G80" s="44">
        <f t="shared" si="2"/>
        <v>179456.89249261812</v>
      </c>
    </row>
    <row r="81" spans="1:7" ht="15" customHeight="1" x14ac:dyDescent="0.2">
      <c r="A81" s="42" t="s">
        <v>803</v>
      </c>
      <c r="B81" s="49">
        <f>IF(B79&lt;&gt;0,B80/B79,0)</f>
        <v>3.6070216187243168E-2</v>
      </c>
      <c r="C81" s="49">
        <f>IF(B79&lt;&gt;0,C80/B79,0)</f>
        <v>3.9014327615984751E-2</v>
      </c>
      <c r="D81" s="49">
        <f>IF(B79&lt;&gt;0,D80/B79,0)</f>
        <v>4.2385866922756227E-2</v>
      </c>
      <c r="E81" s="49">
        <f>IF(B79&lt;&gt;0,E80/B79,0)</f>
        <v>4.5909125498332419E-2</v>
      </c>
      <c r="F81" s="49">
        <f>IF(B79&lt;&gt;0,F80/B79,0)</f>
        <v>4.9590930709809543E-2</v>
      </c>
      <c r="G81" s="49">
        <f>IF(B79&lt;&gt;0,G80/B79,0)</f>
        <v>5.3438417155803143E-2</v>
      </c>
    </row>
    <row r="82" spans="1:7" ht="15" customHeight="1" x14ac:dyDescent="0.2">
      <c r="A82" s="42" t="s">
        <v>804</v>
      </c>
      <c r="B82" s="44">
        <f>B80</f>
        <v>121131</v>
      </c>
      <c r="C82" s="44">
        <f>B82+C80</f>
        <v>252148.91499999998</v>
      </c>
      <c r="D82" s="44">
        <f>C82+D80</f>
        <v>394489.13329999993</v>
      </c>
      <c r="E82" s="44">
        <f>D82+E80</f>
        <v>548661.15854849992</v>
      </c>
      <c r="F82" s="44">
        <f>E82+F80</f>
        <v>715197.4220581823</v>
      </c>
      <c r="G82" s="44">
        <f>F82+G80</f>
        <v>894654.31455080048</v>
      </c>
    </row>
    <row r="83" spans="1:7" ht="15" customHeight="1" x14ac:dyDescent="0.2">
      <c r="A83" s="42" t="s">
        <v>805</v>
      </c>
      <c r="B83" s="49">
        <f>IF(B79&lt;&gt;0,B82/B79,0)</f>
        <v>3.6070216187243168E-2</v>
      </c>
      <c r="C83" s="49">
        <f>IF(B79&lt;&gt;0,C82/B79,0)</f>
        <v>7.5084543803227918E-2</v>
      </c>
      <c r="D83" s="49">
        <f>IF(B79&lt;&gt;0,D82/B79,0)</f>
        <v>0.11747041072598413</v>
      </c>
      <c r="E83" s="49">
        <f>IF(B79&lt;&gt;0,E82/B79,0)</f>
        <v>0.16337953622431658</v>
      </c>
      <c r="F83" s="49">
        <f>IF(B79&lt;&gt;0,F82/B79,0)</f>
        <v>0.21297046693412611</v>
      </c>
      <c r="G83" s="49">
        <f>IF(B79&lt;&gt;0,G82/B79,0)</f>
        <v>0.2664088840899293</v>
      </c>
    </row>
    <row r="86" spans="1:7" ht="15" customHeight="1" x14ac:dyDescent="0.2">
      <c r="A86" s="39" t="s">
        <v>203</v>
      </c>
    </row>
    <row r="87" spans="1:7" ht="15" customHeight="1" x14ac:dyDescent="0.2">
      <c r="A87" s="42" t="s">
        <v>806</v>
      </c>
      <c r="B87" s="57">
        <f>B8</f>
        <v>75</v>
      </c>
    </row>
    <row r="88" spans="1:7" ht="15" customHeight="1" x14ac:dyDescent="0.2">
      <c r="A88" s="42" t="s">
        <v>783</v>
      </c>
      <c r="B88" s="57">
        <f>B37</f>
        <v>176.05882615289315</v>
      </c>
    </row>
    <row r="89" spans="1:7" ht="15" customHeight="1" x14ac:dyDescent="0.2">
      <c r="A89" s="42" t="s">
        <v>807</v>
      </c>
      <c r="B89" s="57">
        <f>B88-B87</f>
        <v>101.05882615289315</v>
      </c>
    </row>
    <row r="90" spans="1:7" ht="15" customHeight="1" x14ac:dyDescent="0.2">
      <c r="A90" s="42" t="s">
        <v>207</v>
      </c>
      <c r="B90" s="49">
        <f>IF(B87&lt;&gt;0,B89/B87,0)</f>
        <v>1.3474510153719086</v>
      </c>
    </row>
    <row r="91" spans="1:7" ht="15" customHeight="1" x14ac:dyDescent="0.2">
      <c r="A91" s="42" t="s">
        <v>808</v>
      </c>
      <c r="B91" s="57">
        <f>IF(B16&lt;&gt;0,G82/B16,0)</f>
        <v>19.980666306744695</v>
      </c>
    </row>
    <row r="92" spans="1:7" ht="15" customHeight="1" x14ac:dyDescent="0.2">
      <c r="A92" s="42" t="s">
        <v>809</v>
      </c>
      <c r="B92" s="57">
        <f>B89+B91</f>
        <v>121.03949245963784</v>
      </c>
    </row>
    <row r="93" spans="1:7" ht="15" customHeight="1" x14ac:dyDescent="0.2">
      <c r="A93" s="42" t="s">
        <v>210</v>
      </c>
      <c r="B93" s="49">
        <f>IF(B87&lt;&gt;0,B92/B87,0)</f>
        <v>1.6138598994618378</v>
      </c>
    </row>
    <row r="94" spans="1:7" ht="15" customHeight="1" x14ac:dyDescent="0.2">
      <c r="A94" s="39" t="s">
        <v>810</v>
      </c>
      <c r="B94" s="49">
        <f>B44</f>
        <v>0.21908015044082552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17"/>
  <sheetViews>
    <sheetView zoomScaleNormal="100" workbookViewId="0"/>
  </sheetViews>
  <sheetFormatPr baseColWidth="10" defaultColWidth="8.6640625" defaultRowHeight="15" x14ac:dyDescent="0.2"/>
  <cols>
    <col min="1" max="1" width="44" customWidth="1"/>
    <col min="2" max="19" width="13" customWidth="1"/>
  </cols>
  <sheetData>
    <row r="1" spans="1:9" ht="15" customHeight="1" x14ac:dyDescent="0.2">
      <c r="A1" s="38" t="s">
        <v>0</v>
      </c>
    </row>
    <row r="2" spans="1:9" ht="15" customHeight="1" x14ac:dyDescent="0.2">
      <c r="A2" s="39" t="s">
        <v>811</v>
      </c>
    </row>
    <row r="3" spans="1:9" ht="15" customHeight="1" x14ac:dyDescent="0.2">
      <c r="A3" s="40" t="s">
        <v>153</v>
      </c>
    </row>
    <row r="5" spans="1:9" ht="15" customHeight="1" x14ac:dyDescent="0.2">
      <c r="A5" s="39" t="s">
        <v>812</v>
      </c>
    </row>
    <row r="7" spans="1:9" ht="15" customHeight="1" x14ac:dyDescent="0.2">
      <c r="A7" s="42" t="s">
        <v>813</v>
      </c>
      <c r="H7" s="59">
        <v>100000</v>
      </c>
      <c r="I7" s="40" t="s">
        <v>814</v>
      </c>
    </row>
    <row r="8" spans="1:9" ht="15" customHeight="1" x14ac:dyDescent="0.2">
      <c r="A8" s="42" t="s">
        <v>815</v>
      </c>
      <c r="H8" s="54">
        <v>0.05</v>
      </c>
      <c r="I8" s="40" t="s">
        <v>816</v>
      </c>
    </row>
    <row r="9" spans="1:9" ht="15" customHeight="1" x14ac:dyDescent="0.2">
      <c r="A9" s="42" t="s">
        <v>817</v>
      </c>
      <c r="H9" s="54">
        <v>0.05</v>
      </c>
      <c r="I9" s="40" t="s">
        <v>818</v>
      </c>
    </row>
    <row r="10" spans="1:9" ht="15" customHeight="1" x14ac:dyDescent="0.2">
      <c r="A10" s="42" t="s">
        <v>819</v>
      </c>
      <c r="H10" s="54">
        <v>7.0000000000000007E-2</v>
      </c>
      <c r="I10" s="40" t="s">
        <v>820</v>
      </c>
    </row>
    <row r="11" spans="1:9" ht="15" customHeight="1" x14ac:dyDescent="0.2">
      <c r="A11" s="42" t="s">
        <v>821</v>
      </c>
      <c r="H11" s="54">
        <v>0.05</v>
      </c>
      <c r="I11" s="40" t="s">
        <v>822</v>
      </c>
    </row>
    <row r="12" spans="1:9" ht="15" customHeight="1" x14ac:dyDescent="0.2">
      <c r="A12" s="42" t="s">
        <v>549</v>
      </c>
      <c r="H12" s="54">
        <v>3.5000000000000003E-2</v>
      </c>
      <c r="I12" s="40" t="s">
        <v>823</v>
      </c>
    </row>
    <row r="13" spans="1:9" ht="15" customHeight="1" x14ac:dyDescent="0.2">
      <c r="A13" s="42" t="s">
        <v>824</v>
      </c>
      <c r="H13" s="54">
        <v>0.08</v>
      </c>
      <c r="I13" s="40" t="s">
        <v>825</v>
      </c>
    </row>
    <row r="14" spans="1:9" ht="15" customHeight="1" x14ac:dyDescent="0.2">
      <c r="A14" s="42" t="s">
        <v>826</v>
      </c>
      <c r="H14" s="54">
        <v>0.31</v>
      </c>
      <c r="I14" s="40" t="s">
        <v>827</v>
      </c>
    </row>
    <row r="15" spans="1:9" ht="15" customHeight="1" x14ac:dyDescent="0.2">
      <c r="A15" s="42" t="s">
        <v>828</v>
      </c>
      <c r="H15" s="54">
        <v>-0.01</v>
      </c>
      <c r="I15" s="40" t="s">
        <v>829</v>
      </c>
    </row>
    <row r="16" spans="1:9" ht="15" customHeight="1" x14ac:dyDescent="0.2">
      <c r="A16" s="42" t="s">
        <v>830</v>
      </c>
      <c r="H16" s="59">
        <v>1</v>
      </c>
      <c r="I16" s="40" t="s">
        <v>831</v>
      </c>
    </row>
    <row r="18" spans="1:12" ht="15" customHeight="1" x14ac:dyDescent="0.2">
      <c r="A18" s="39" t="s">
        <v>832</v>
      </c>
    </row>
    <row r="19" spans="1:12" ht="15" customHeight="1" x14ac:dyDescent="0.2">
      <c r="A19" s="42" t="s">
        <v>833</v>
      </c>
      <c r="H19" s="44">
        <f>H7/H8</f>
        <v>2000000</v>
      </c>
    </row>
    <row r="20" spans="1:12" ht="15" customHeight="1" x14ac:dyDescent="0.2">
      <c r="A20" s="42" t="s">
        <v>834</v>
      </c>
      <c r="H20" s="44">
        <f>H7*H10</f>
        <v>7000.0000000000009</v>
      </c>
    </row>
    <row r="22" spans="1:12" ht="15" customHeight="1" x14ac:dyDescent="0.2">
      <c r="A22" s="39" t="s">
        <v>835</v>
      </c>
    </row>
    <row r="23" spans="1:12" ht="15" customHeight="1" x14ac:dyDescent="0.2">
      <c r="H23" s="61">
        <v>4</v>
      </c>
      <c r="I23" s="61">
        <v>6</v>
      </c>
      <c r="J23" s="61">
        <v>8</v>
      </c>
      <c r="K23" s="61">
        <v>10</v>
      </c>
      <c r="L23" s="61">
        <v>12</v>
      </c>
    </row>
    <row r="24" spans="1:12" ht="15" customHeight="1" x14ac:dyDescent="0.2">
      <c r="A24" s="42" t="s">
        <v>571</v>
      </c>
      <c r="H24" s="44">
        <f>H23*(H7-H20)</f>
        <v>372000</v>
      </c>
      <c r="I24" s="44">
        <f>I23*(H7-H20)</f>
        <v>558000</v>
      </c>
      <c r="J24" s="44">
        <f>J23*(H7-H20)</f>
        <v>744000</v>
      </c>
      <c r="K24" s="44">
        <f>K23*(H7-H20)</f>
        <v>930000</v>
      </c>
      <c r="L24" s="44">
        <f>L23*(H7-H20)</f>
        <v>1116000</v>
      </c>
    </row>
    <row r="25" spans="1:12" ht="15" customHeight="1" x14ac:dyDescent="0.2">
      <c r="A25" s="42" t="s">
        <v>836</v>
      </c>
      <c r="H25" s="44">
        <f>H19-H24</f>
        <v>1628000</v>
      </c>
      <c r="I25" s="44">
        <f>H19-I24</f>
        <v>1442000</v>
      </c>
      <c r="J25" s="44">
        <f>H19-J24</f>
        <v>1256000</v>
      </c>
      <c r="K25" s="44">
        <f>H19-K24</f>
        <v>1070000</v>
      </c>
      <c r="L25" s="44">
        <f>H19-L24</f>
        <v>884000</v>
      </c>
    </row>
    <row r="26" spans="1:12" ht="15" customHeight="1" x14ac:dyDescent="0.2">
      <c r="A26" s="42" t="s">
        <v>837</v>
      </c>
      <c r="H26" s="44">
        <f>H24*H12</f>
        <v>13020.000000000002</v>
      </c>
      <c r="I26" s="44">
        <f>I24*H12</f>
        <v>19530.000000000004</v>
      </c>
      <c r="J26" s="44">
        <f>J24*H12</f>
        <v>26040.000000000004</v>
      </c>
      <c r="K26" s="44">
        <f>K24*H12</f>
        <v>32550.000000000004</v>
      </c>
      <c r="L26" s="44">
        <f>L24*H12</f>
        <v>39060.000000000007</v>
      </c>
    </row>
    <row r="27" spans="1:12" ht="15" customHeight="1" x14ac:dyDescent="0.2">
      <c r="A27" s="42" t="s">
        <v>409</v>
      </c>
      <c r="H27" s="44">
        <f>H7-H20</f>
        <v>93000</v>
      </c>
    </row>
    <row r="28" spans="1:12" ht="15" customHeight="1" x14ac:dyDescent="0.2">
      <c r="A28" s="42" t="s">
        <v>776</v>
      </c>
      <c r="H28" s="44">
        <f>H7-H20-H26</f>
        <v>79980</v>
      </c>
      <c r="I28" s="44">
        <f>H7-H20-I26</f>
        <v>73470</v>
      </c>
      <c r="J28" s="44">
        <f>H7-H20-J26</f>
        <v>66960</v>
      </c>
      <c r="K28" s="44">
        <f>H7-H20-K26</f>
        <v>60450</v>
      </c>
      <c r="L28" s="44">
        <f>H7-H20-L26</f>
        <v>53939.999999999993</v>
      </c>
    </row>
    <row r="29" spans="1:12" ht="15" customHeight="1" x14ac:dyDescent="0.2">
      <c r="A29" s="42" t="s">
        <v>838</v>
      </c>
      <c r="H29" s="44">
        <f>H28-H7*H13</f>
        <v>71980</v>
      </c>
      <c r="I29" s="44">
        <f>I28-H7*H13</f>
        <v>65470</v>
      </c>
      <c r="J29" s="44">
        <f>J28-H7*H13</f>
        <v>58960</v>
      </c>
      <c r="K29" s="44">
        <f>K28-H7*H13</f>
        <v>52450</v>
      </c>
      <c r="L29" s="44">
        <f>L28-H7*H13</f>
        <v>45939.999999999993</v>
      </c>
    </row>
    <row r="30" spans="1:12" ht="15" customHeight="1" x14ac:dyDescent="0.2">
      <c r="A30" s="42" t="s">
        <v>392</v>
      </c>
      <c r="H30" s="44">
        <f>H28-H7*H14</f>
        <v>48980</v>
      </c>
      <c r="I30" s="44">
        <f>I28-H7*H14</f>
        <v>42470</v>
      </c>
      <c r="J30" s="44">
        <f>J28-H7*H14</f>
        <v>35960</v>
      </c>
      <c r="K30" s="44">
        <f>K28-H7*H14</f>
        <v>29450</v>
      </c>
      <c r="L30" s="44">
        <f>L28-H7*H14</f>
        <v>22939.999999999993</v>
      </c>
    </row>
    <row r="35" spans="1:13" ht="15" customHeight="1" x14ac:dyDescent="0.2">
      <c r="A35" s="39" t="s">
        <v>839</v>
      </c>
    </row>
    <row r="36" spans="1:13" ht="15" customHeight="1" x14ac:dyDescent="0.2">
      <c r="H36" s="41" t="s">
        <v>840</v>
      </c>
      <c r="I36" s="41" t="s">
        <v>841</v>
      </c>
      <c r="J36" s="41" t="s">
        <v>842</v>
      </c>
      <c r="K36" s="41" t="s">
        <v>843</v>
      </c>
      <c r="L36" s="41" t="s">
        <v>844</v>
      </c>
      <c r="M36" s="41" t="s">
        <v>845</v>
      </c>
    </row>
    <row r="37" spans="1:13" ht="15" customHeight="1" x14ac:dyDescent="0.2">
      <c r="A37" s="42" t="s">
        <v>165</v>
      </c>
      <c r="H37" s="44">
        <f>H7</f>
        <v>100000</v>
      </c>
      <c r="I37" s="44">
        <f>H37*(1+$H$9)</f>
        <v>105000</v>
      </c>
      <c r="J37" s="44">
        <f>I37*(1+$H$9)</f>
        <v>110250</v>
      </c>
      <c r="K37" s="44">
        <f>J37*(1+$H$9)</f>
        <v>115762.5</v>
      </c>
      <c r="L37" s="44">
        <f>K37*(1+$H$9)</f>
        <v>121550.625</v>
      </c>
      <c r="M37" s="44">
        <f>L37*(1+$H$9)</f>
        <v>127628.15625</v>
      </c>
    </row>
    <row r="38" spans="1:13" ht="15" customHeight="1" x14ac:dyDescent="0.2">
      <c r="A38" s="42" t="s">
        <v>774</v>
      </c>
      <c r="H38" s="44">
        <f>H20</f>
        <v>7000.0000000000009</v>
      </c>
      <c r="I38" s="44">
        <f>H38*(1+$H$11)</f>
        <v>7350.0000000000009</v>
      </c>
      <c r="J38" s="44">
        <f>I38*(1+$H$11)</f>
        <v>7717.5000000000009</v>
      </c>
      <c r="K38" s="44">
        <f>J38*(1+$H$11)</f>
        <v>8103.3750000000009</v>
      </c>
      <c r="L38" s="44">
        <f>K38*(1+$H$11)</f>
        <v>8508.5437500000007</v>
      </c>
      <c r="M38" s="44">
        <f>L38*(1+$H$11)</f>
        <v>8933.970937500002</v>
      </c>
    </row>
    <row r="39" spans="1:13" ht="15" customHeight="1" x14ac:dyDescent="0.2">
      <c r="A39" s="42" t="s">
        <v>409</v>
      </c>
      <c r="H39" s="44">
        <f t="shared" ref="H39:M39" si="0">H37-H38</f>
        <v>93000</v>
      </c>
      <c r="I39" s="44">
        <f t="shared" si="0"/>
        <v>97650</v>
      </c>
      <c r="J39" s="44">
        <f t="shared" si="0"/>
        <v>102532.5</v>
      </c>
      <c r="K39" s="44">
        <f t="shared" si="0"/>
        <v>107659.125</v>
      </c>
      <c r="L39" s="44">
        <f t="shared" si="0"/>
        <v>113042.08125</v>
      </c>
      <c r="M39" s="44">
        <f t="shared" si="0"/>
        <v>118694.18531249999</v>
      </c>
    </row>
    <row r="40" spans="1:13" ht="15" customHeight="1" x14ac:dyDescent="0.2">
      <c r="A40" s="42" t="s">
        <v>775</v>
      </c>
      <c r="H40" s="44">
        <f>K24*H12</f>
        <v>32550.000000000004</v>
      </c>
      <c r="I40" s="44">
        <f>$H$40</f>
        <v>32550.000000000004</v>
      </c>
      <c r="J40" s="44">
        <f>$H$40</f>
        <v>32550.000000000004</v>
      </c>
      <c r="K40" s="44">
        <f>$H$40</f>
        <v>32550.000000000004</v>
      </c>
      <c r="L40" s="44">
        <f>$H$40</f>
        <v>32550.000000000004</v>
      </c>
      <c r="M40" s="44">
        <f>$H$40</f>
        <v>32550.000000000004</v>
      </c>
    </row>
    <row r="41" spans="1:13" ht="15" customHeight="1" x14ac:dyDescent="0.2">
      <c r="A41" s="42" t="s">
        <v>776</v>
      </c>
      <c r="H41" s="44">
        <f t="shared" ref="H41:M41" si="1">H39-H40</f>
        <v>60450</v>
      </c>
      <c r="I41" s="44">
        <f t="shared" si="1"/>
        <v>65100</v>
      </c>
      <c r="J41" s="44">
        <f t="shared" si="1"/>
        <v>69982.5</v>
      </c>
      <c r="K41" s="44">
        <f t="shared" si="1"/>
        <v>75109.125</v>
      </c>
      <c r="L41" s="44">
        <f t="shared" si="1"/>
        <v>80492.081250000003</v>
      </c>
      <c r="M41" s="44">
        <f t="shared" si="1"/>
        <v>86144.185312499991</v>
      </c>
    </row>
    <row r="42" spans="1:13" ht="15" customHeight="1" x14ac:dyDescent="0.2">
      <c r="A42" s="42" t="s">
        <v>846</v>
      </c>
      <c r="H42" s="44">
        <f>H37*H13</f>
        <v>8000</v>
      </c>
      <c r="I42" s="44">
        <f>I37*$H$13</f>
        <v>8400</v>
      </c>
      <c r="J42" s="44">
        <f>J37*$H$13</f>
        <v>8820</v>
      </c>
      <c r="K42" s="44">
        <f>K37*$H$13</f>
        <v>9261</v>
      </c>
      <c r="L42" s="44">
        <f>L37*$H$13</f>
        <v>9724.0500000000011</v>
      </c>
      <c r="M42" s="44">
        <f>M37*$H$13</f>
        <v>10210.252500000001</v>
      </c>
    </row>
    <row r="43" spans="1:13" ht="15" customHeight="1" x14ac:dyDescent="0.2">
      <c r="A43" s="42" t="s">
        <v>847</v>
      </c>
      <c r="H43" s="44">
        <f t="shared" ref="H43:M43" si="2">H41-H42</f>
        <v>52450</v>
      </c>
      <c r="I43" s="44">
        <f t="shared" si="2"/>
        <v>56700</v>
      </c>
      <c r="J43" s="44">
        <f t="shared" si="2"/>
        <v>61162.5</v>
      </c>
      <c r="K43" s="44">
        <f t="shared" si="2"/>
        <v>65848.125</v>
      </c>
      <c r="L43" s="44">
        <f t="shared" si="2"/>
        <v>70768.03125</v>
      </c>
      <c r="M43" s="44">
        <f t="shared" si="2"/>
        <v>75933.932812499988</v>
      </c>
    </row>
    <row r="44" spans="1:13" ht="15" customHeight="1" x14ac:dyDescent="0.2">
      <c r="A44" s="42" t="s">
        <v>848</v>
      </c>
      <c r="H44" s="44">
        <f>K25*H16/1000</f>
        <v>1070</v>
      </c>
      <c r="I44" s="44">
        <f>H44*(1+$H$15)</f>
        <v>1059.3</v>
      </c>
      <c r="J44" s="44">
        <f>I44*(1+$H$15)</f>
        <v>1048.7069999999999</v>
      </c>
      <c r="K44" s="44">
        <f>J44*(1+$H$15)</f>
        <v>1038.21993</v>
      </c>
      <c r="L44" s="44">
        <f>K44*(1+$H$15)</f>
        <v>1027.8377307000001</v>
      </c>
      <c r="M44" s="44">
        <f>L44*(1+$H$15)</f>
        <v>1017.559353393</v>
      </c>
    </row>
    <row r="45" spans="1:13" ht="15" customHeight="1" x14ac:dyDescent="0.2">
      <c r="A45" s="42" t="s">
        <v>849</v>
      </c>
      <c r="H45" s="57">
        <f t="shared" ref="H45:M45" si="3">IF(H44&lt;&gt;0,H43/H44,0)</f>
        <v>49.018691588785046</v>
      </c>
      <c r="I45" s="57">
        <f t="shared" si="3"/>
        <v>53.525913338997455</v>
      </c>
      <c r="J45" s="57">
        <f t="shared" si="3"/>
        <v>58.321819154444476</v>
      </c>
      <c r="K45" s="57">
        <f t="shared" si="3"/>
        <v>63.424061797773426</v>
      </c>
      <c r="L45" s="57">
        <f t="shared" si="3"/>
        <v>68.851365479455637</v>
      </c>
      <c r="M45" s="57">
        <f t="shared" si="3"/>
        <v>74.623590810012345</v>
      </c>
    </row>
    <row r="46" spans="1:13" ht="15" customHeight="1" x14ac:dyDescent="0.2">
      <c r="A46" s="42" t="s">
        <v>850</v>
      </c>
      <c r="I46" s="49">
        <f>IF(H45&lt;&gt;0,I45/H45-1,0)</f>
        <v>9.1949042378022483E-2</v>
      </c>
      <c r="J46" s="49">
        <f>IF(I45&lt;&gt;0,J45/I45-1,0)</f>
        <v>8.9599700710811803E-2</v>
      </c>
      <c r="K46" s="49">
        <f>IF(J45&lt;&gt;0,K45/J45-1,0)</f>
        <v>8.7484284909177479E-2</v>
      </c>
      <c r="L46" s="49">
        <f>IF(K45&lt;&gt;0,L45/K45-1,0)</f>
        <v>8.557168254198344E-2</v>
      </c>
      <c r="M46" s="49">
        <f>IF(L45&lt;&gt;0,M45/L45-1,0)</f>
        <v>8.3836032740397304E-2</v>
      </c>
    </row>
    <row r="50" spans="1:13" ht="15" customHeight="1" x14ac:dyDescent="0.2">
      <c r="A50" s="39" t="s">
        <v>851</v>
      </c>
    </row>
    <row r="51" spans="1:13" ht="15" customHeight="1" x14ac:dyDescent="0.2">
      <c r="A51" s="42" t="s">
        <v>852</v>
      </c>
      <c r="H51" s="49">
        <f>IF(H37&lt;&gt;0,(M37/H37)^(1/5)-1,0)</f>
        <v>5.0000000000000044E-2</v>
      </c>
    </row>
    <row r="52" spans="1:13" ht="15" customHeight="1" x14ac:dyDescent="0.2">
      <c r="A52" s="42" t="s">
        <v>853</v>
      </c>
      <c r="H52" s="49">
        <f>IF(H45&lt;&gt;0,(M45/H45)^(1/5)-1,0)</f>
        <v>8.7684364633654255E-2</v>
      </c>
    </row>
    <row r="53" spans="1:13" ht="15" customHeight="1" x14ac:dyDescent="0.2">
      <c r="A53" s="42" t="s">
        <v>854</v>
      </c>
      <c r="H53" s="63">
        <f>IF(H51&lt;&gt;0,H52/H51,0)</f>
        <v>1.7536872926730835</v>
      </c>
    </row>
    <row r="57" spans="1:13" ht="15" customHeight="1" x14ac:dyDescent="0.2">
      <c r="A57" s="39" t="s">
        <v>855</v>
      </c>
    </row>
    <row r="58" spans="1:13" ht="15" customHeight="1" x14ac:dyDescent="0.2">
      <c r="H58" s="53" t="s">
        <v>840</v>
      </c>
      <c r="I58" s="53" t="s">
        <v>841</v>
      </c>
      <c r="J58" s="53" t="s">
        <v>842</v>
      </c>
      <c r="K58" s="53" t="s">
        <v>843</v>
      </c>
      <c r="L58" s="53" t="s">
        <v>844</v>
      </c>
      <c r="M58" s="53" t="s">
        <v>845</v>
      </c>
    </row>
    <row r="59" spans="1:13" ht="15" customHeight="1" x14ac:dyDescent="0.2">
      <c r="A59" s="42" t="s">
        <v>465</v>
      </c>
      <c r="H59" s="44">
        <f>H7</f>
        <v>100000</v>
      </c>
      <c r="I59" s="44">
        <f>H59*(1+$H$9)</f>
        <v>105000</v>
      </c>
      <c r="J59" s="44">
        <f>I59*(1+$H$9)</f>
        <v>110250</v>
      </c>
      <c r="K59" s="44">
        <f>J59*(1+$H$9)</f>
        <v>115762.5</v>
      </c>
      <c r="L59" s="44">
        <f>K59*(1+$H$9)</f>
        <v>121550.625</v>
      </c>
      <c r="M59" s="44">
        <f>L59*(1+$H$9)</f>
        <v>127628.15625</v>
      </c>
    </row>
    <row r="60" spans="1:13" ht="15" customHeight="1" x14ac:dyDescent="0.2">
      <c r="A60" s="42" t="s">
        <v>466</v>
      </c>
      <c r="H60" s="44">
        <f>H20</f>
        <v>7000.0000000000009</v>
      </c>
      <c r="I60" s="44">
        <f>H60*(1+$H$11)</f>
        <v>7350.0000000000009</v>
      </c>
      <c r="J60" s="44">
        <f>I60*(1+$H$11)</f>
        <v>7717.5000000000009</v>
      </c>
      <c r="K60" s="44">
        <f>J60*(1+$H$11)</f>
        <v>8103.3750000000009</v>
      </c>
      <c r="L60" s="44">
        <f>K60*(1+$H$11)</f>
        <v>8508.5437500000007</v>
      </c>
      <c r="M60" s="44">
        <f>L60*(1+$H$11)</f>
        <v>8933.970937500002</v>
      </c>
    </row>
    <row r="61" spans="1:13" ht="15" customHeight="1" x14ac:dyDescent="0.2">
      <c r="A61" s="42" t="s">
        <v>330</v>
      </c>
      <c r="H61" s="44">
        <f t="shared" ref="H61:M61" si="4">H59-H60</f>
        <v>93000</v>
      </c>
      <c r="I61" s="44">
        <f t="shared" si="4"/>
        <v>97650</v>
      </c>
      <c r="J61" s="44">
        <f t="shared" si="4"/>
        <v>102532.5</v>
      </c>
      <c r="K61" s="44">
        <f t="shared" si="4"/>
        <v>107659.125</v>
      </c>
      <c r="L61" s="44">
        <f t="shared" si="4"/>
        <v>113042.08125</v>
      </c>
      <c r="M61" s="44">
        <f t="shared" si="4"/>
        <v>118694.18531249999</v>
      </c>
    </row>
    <row r="62" spans="1:13" ht="15" customHeight="1" x14ac:dyDescent="0.2">
      <c r="A62" s="42" t="s">
        <v>470</v>
      </c>
      <c r="H62" s="44">
        <f>I24*H12</f>
        <v>19530.000000000004</v>
      </c>
      <c r="I62" s="44">
        <f>$H$62</f>
        <v>19530.000000000004</v>
      </c>
      <c r="J62" s="44">
        <f>$H$62</f>
        <v>19530.000000000004</v>
      </c>
      <c r="K62" s="44">
        <f>$H$62</f>
        <v>19530.000000000004</v>
      </c>
      <c r="L62" s="44">
        <f>$H$62</f>
        <v>19530.000000000004</v>
      </c>
      <c r="M62" s="44">
        <f>$H$62</f>
        <v>19530.000000000004</v>
      </c>
    </row>
    <row r="63" spans="1:13" ht="15" customHeight="1" x14ac:dyDescent="0.2">
      <c r="A63" s="42" t="s">
        <v>377</v>
      </c>
      <c r="H63" s="44">
        <f t="shared" ref="H63:M63" si="5">H61-H62</f>
        <v>73470</v>
      </c>
      <c r="I63" s="44">
        <f t="shared" si="5"/>
        <v>78120</v>
      </c>
      <c r="J63" s="44">
        <f t="shared" si="5"/>
        <v>83002.5</v>
      </c>
      <c r="K63" s="44">
        <f t="shared" si="5"/>
        <v>88129.125</v>
      </c>
      <c r="L63" s="44">
        <f t="shared" si="5"/>
        <v>93512.081250000003</v>
      </c>
      <c r="M63" s="44">
        <f t="shared" si="5"/>
        <v>99164.185312499991</v>
      </c>
    </row>
    <row r="64" spans="1:13" ht="15" customHeight="1" x14ac:dyDescent="0.2">
      <c r="A64" s="42" t="s">
        <v>856</v>
      </c>
      <c r="H64" s="44">
        <f>H7*H13</f>
        <v>8000</v>
      </c>
      <c r="I64" s="44">
        <f>I59*$H$13</f>
        <v>8400</v>
      </c>
      <c r="J64" s="44">
        <f>J59*$H$13</f>
        <v>8820</v>
      </c>
      <c r="K64" s="44">
        <f>K59*$H$13</f>
        <v>9261</v>
      </c>
      <c r="L64" s="44">
        <f>L59*$H$13</f>
        <v>9724.0500000000011</v>
      </c>
      <c r="M64" s="44">
        <f>M59*$H$13</f>
        <v>10210.252500000001</v>
      </c>
    </row>
    <row r="65" spans="1:13" ht="15" customHeight="1" x14ac:dyDescent="0.2">
      <c r="A65" s="42" t="s">
        <v>501</v>
      </c>
      <c r="H65" s="44">
        <f t="shared" ref="H65:M65" si="6">H63-H64</f>
        <v>65470</v>
      </c>
      <c r="I65" s="44">
        <f t="shared" si="6"/>
        <v>69720</v>
      </c>
      <c r="J65" s="44">
        <f t="shared" si="6"/>
        <v>74182.5</v>
      </c>
      <c r="K65" s="44">
        <f t="shared" si="6"/>
        <v>78868.125</v>
      </c>
      <c r="L65" s="44">
        <f t="shared" si="6"/>
        <v>83788.03125</v>
      </c>
      <c r="M65" s="44">
        <f t="shared" si="6"/>
        <v>88953.932812499988</v>
      </c>
    </row>
    <row r="66" spans="1:13" ht="15" customHeight="1" x14ac:dyDescent="0.2">
      <c r="A66" s="42" t="s">
        <v>642</v>
      </c>
      <c r="H66" s="44">
        <f>I25*H16/1000</f>
        <v>1442</v>
      </c>
      <c r="I66" s="44">
        <f>H66*(1+$H$15)</f>
        <v>1427.58</v>
      </c>
      <c r="J66" s="44">
        <f>I66*(1+$H$15)</f>
        <v>1413.3041999999998</v>
      </c>
      <c r="K66" s="44">
        <f>J66*(1+$H$15)</f>
        <v>1399.1711579999999</v>
      </c>
      <c r="L66" s="44">
        <f>K66*(1+$H$15)</f>
        <v>1385.17944642</v>
      </c>
      <c r="M66" s="44">
        <f>L66*(1+$H$15)</f>
        <v>1371.3276519557999</v>
      </c>
    </row>
    <row r="67" spans="1:13" ht="15" customHeight="1" x14ac:dyDescent="0.2">
      <c r="A67" s="42" t="s">
        <v>857</v>
      </c>
      <c r="H67" s="57">
        <f t="shared" ref="H67:M67" si="7">IF(H66&lt;&gt;0,H65/H66,0)</f>
        <v>45.402219140083218</v>
      </c>
      <c r="I67" s="57">
        <f t="shared" si="7"/>
        <v>48.837893498087674</v>
      </c>
      <c r="J67" s="57">
        <f t="shared" si="7"/>
        <v>52.488699884992918</v>
      </c>
      <c r="K67" s="57">
        <f t="shared" si="7"/>
        <v>56.367746396899364</v>
      </c>
      <c r="L67" s="57">
        <f t="shared" si="7"/>
        <v>60.488936264936932</v>
      </c>
      <c r="M67" s="57">
        <f t="shared" si="7"/>
        <v>64.867016052387683</v>
      </c>
    </row>
    <row r="68" spans="1:13" ht="15" customHeight="1" x14ac:dyDescent="0.2">
      <c r="A68" s="42" t="s">
        <v>858</v>
      </c>
      <c r="I68" s="49">
        <f>IF(H67&lt;&gt;0,I67/H67-1,0)</f>
        <v>7.567194782713349E-2</v>
      </c>
      <c r="J68" s="49">
        <f>IF(I67&lt;&gt;0,J67/I67-1,0)</f>
        <v>7.4753559693318872E-2</v>
      </c>
      <c r="K68" s="49">
        <f>IF(J67&lt;&gt;0,K67/J67-1,0)</f>
        <v>7.3902507023526187E-2</v>
      </c>
      <c r="L68" s="49">
        <f>IF(K67&lt;&gt;0,L67/K67-1,0)</f>
        <v>7.3112553392133961E-2</v>
      </c>
      <c r="M68" s="49">
        <f>IF(L67&lt;&gt;0,M67/L67-1,0)</f>
        <v>7.2378191083987575E-2</v>
      </c>
    </row>
    <row r="75" spans="1:13" ht="15" customHeight="1" x14ac:dyDescent="0.2">
      <c r="A75" s="39" t="s">
        <v>859</v>
      </c>
    </row>
    <row r="76" spans="1:13" ht="15" customHeight="1" x14ac:dyDescent="0.2">
      <c r="H76" s="53" t="s">
        <v>840</v>
      </c>
      <c r="I76" s="53" t="s">
        <v>841</v>
      </c>
      <c r="J76" s="53" t="s">
        <v>842</v>
      </c>
      <c r="K76" s="53" t="s">
        <v>843</v>
      </c>
      <c r="L76" s="53" t="s">
        <v>844</v>
      </c>
      <c r="M76" s="53" t="s">
        <v>845</v>
      </c>
    </row>
    <row r="77" spans="1:13" ht="15" customHeight="1" x14ac:dyDescent="0.2">
      <c r="A77" s="42" t="s">
        <v>465</v>
      </c>
      <c r="H77" s="44">
        <f>H7</f>
        <v>100000</v>
      </c>
      <c r="I77" s="44">
        <f>H77*(1+$H$9)</f>
        <v>105000</v>
      </c>
      <c r="J77" s="44">
        <f>I77*(1+$H$9)</f>
        <v>110250</v>
      </c>
      <c r="K77" s="44">
        <f>J77*(1+$H$9)</f>
        <v>115762.5</v>
      </c>
      <c r="L77" s="44">
        <f>K77*(1+$H$9)</f>
        <v>121550.625</v>
      </c>
      <c r="M77" s="44">
        <f>L77*(1+$H$9)</f>
        <v>127628.15625</v>
      </c>
    </row>
    <row r="78" spans="1:13" ht="15" customHeight="1" x14ac:dyDescent="0.2">
      <c r="A78" s="42" t="s">
        <v>466</v>
      </c>
      <c r="H78" s="44">
        <f>H20</f>
        <v>7000.0000000000009</v>
      </c>
      <c r="I78" s="44">
        <f>H78*(1+$H$11)</f>
        <v>7350.0000000000009</v>
      </c>
      <c r="J78" s="44">
        <f>I78*(1+$H$11)</f>
        <v>7717.5000000000009</v>
      </c>
      <c r="K78" s="44">
        <f>J78*(1+$H$11)</f>
        <v>8103.3750000000009</v>
      </c>
      <c r="L78" s="44">
        <f>K78*(1+$H$11)</f>
        <v>8508.5437500000007</v>
      </c>
      <c r="M78" s="44">
        <f>L78*(1+$H$11)</f>
        <v>8933.970937500002</v>
      </c>
    </row>
    <row r="79" spans="1:13" ht="15" customHeight="1" x14ac:dyDescent="0.2">
      <c r="A79" s="42" t="s">
        <v>330</v>
      </c>
      <c r="H79" s="44">
        <f t="shared" ref="H79:M79" si="8">H77-H78</f>
        <v>93000</v>
      </c>
      <c r="I79" s="44">
        <f t="shared" si="8"/>
        <v>97650</v>
      </c>
      <c r="J79" s="44">
        <f t="shared" si="8"/>
        <v>102532.5</v>
      </c>
      <c r="K79" s="44">
        <f t="shared" si="8"/>
        <v>107659.125</v>
      </c>
      <c r="L79" s="44">
        <f t="shared" si="8"/>
        <v>113042.08125</v>
      </c>
      <c r="M79" s="44">
        <f t="shared" si="8"/>
        <v>118694.18531249999</v>
      </c>
    </row>
    <row r="80" spans="1:13" ht="15" customHeight="1" x14ac:dyDescent="0.2">
      <c r="A80" s="42" t="s">
        <v>470</v>
      </c>
      <c r="H80" s="44">
        <f>J24*H12</f>
        <v>26040.000000000004</v>
      </c>
      <c r="I80" s="44">
        <f>$H$80</f>
        <v>26040.000000000004</v>
      </c>
      <c r="J80" s="44">
        <f>$H$80</f>
        <v>26040.000000000004</v>
      </c>
      <c r="K80" s="44">
        <f>$H$80</f>
        <v>26040.000000000004</v>
      </c>
      <c r="L80" s="44">
        <f>$H$80</f>
        <v>26040.000000000004</v>
      </c>
      <c r="M80" s="44">
        <f>$H$80</f>
        <v>26040.000000000004</v>
      </c>
    </row>
    <row r="81" spans="1:13" ht="15" customHeight="1" x14ac:dyDescent="0.2">
      <c r="A81" s="42" t="s">
        <v>377</v>
      </c>
      <c r="H81" s="44">
        <f t="shared" ref="H81:M81" si="9">H79-H80</f>
        <v>66960</v>
      </c>
      <c r="I81" s="44">
        <f t="shared" si="9"/>
        <v>71610</v>
      </c>
      <c r="J81" s="44">
        <f t="shared" si="9"/>
        <v>76492.5</v>
      </c>
      <c r="K81" s="44">
        <f t="shared" si="9"/>
        <v>81619.125</v>
      </c>
      <c r="L81" s="44">
        <f t="shared" si="9"/>
        <v>87002.081250000003</v>
      </c>
      <c r="M81" s="44">
        <f t="shared" si="9"/>
        <v>92654.185312499991</v>
      </c>
    </row>
    <row r="82" spans="1:13" ht="15" customHeight="1" x14ac:dyDescent="0.2">
      <c r="A82" s="42" t="s">
        <v>856</v>
      </c>
      <c r="H82" s="44">
        <f>H7*H13</f>
        <v>8000</v>
      </c>
      <c r="I82" s="44">
        <f>I77*$H$13</f>
        <v>8400</v>
      </c>
      <c r="J82" s="44">
        <f>J77*$H$13</f>
        <v>8820</v>
      </c>
      <c r="K82" s="44">
        <f>K77*$H$13</f>
        <v>9261</v>
      </c>
      <c r="L82" s="44">
        <f>L77*$H$13</f>
        <v>9724.0500000000011</v>
      </c>
      <c r="M82" s="44">
        <f>M77*$H$13</f>
        <v>10210.252500000001</v>
      </c>
    </row>
    <row r="83" spans="1:13" ht="15" customHeight="1" x14ac:dyDescent="0.2">
      <c r="A83" s="42" t="s">
        <v>501</v>
      </c>
      <c r="H83" s="44">
        <f t="shared" ref="H83:M83" si="10">H81-H82</f>
        <v>58960</v>
      </c>
      <c r="I83" s="44">
        <f t="shared" si="10"/>
        <v>63210</v>
      </c>
      <c r="J83" s="44">
        <f t="shared" si="10"/>
        <v>67672.5</v>
      </c>
      <c r="K83" s="44">
        <f t="shared" si="10"/>
        <v>72358.125</v>
      </c>
      <c r="L83" s="44">
        <f t="shared" si="10"/>
        <v>77278.03125</v>
      </c>
      <c r="M83" s="44">
        <f t="shared" si="10"/>
        <v>82443.932812499988</v>
      </c>
    </row>
    <row r="84" spans="1:13" ht="15" customHeight="1" x14ac:dyDescent="0.2">
      <c r="A84" s="42" t="s">
        <v>642</v>
      </c>
      <c r="H84" s="44">
        <f>J25*H16/1000</f>
        <v>1256</v>
      </c>
      <c r="I84" s="44">
        <f>H84*(1+$H$15)</f>
        <v>1243.44</v>
      </c>
      <c r="J84" s="44">
        <f>I84*(1+$H$15)</f>
        <v>1231.0056</v>
      </c>
      <c r="K84" s="44">
        <f>J84*(1+$H$15)</f>
        <v>1218.6955439999999</v>
      </c>
      <c r="L84" s="44">
        <f>K84*(1+$H$15)</f>
        <v>1206.5085885599999</v>
      </c>
      <c r="M84" s="44">
        <f>L84*(1+$H$15)</f>
        <v>1194.4435026744</v>
      </c>
    </row>
    <row r="85" spans="1:13" ht="15" customHeight="1" x14ac:dyDescent="0.2">
      <c r="A85" s="42" t="s">
        <v>857</v>
      </c>
      <c r="H85" s="57">
        <f t="shared" ref="H85:M85" si="11">IF(H84&lt;&gt;0,H83/H84,0)</f>
        <v>46.942675159235669</v>
      </c>
      <c r="I85" s="57">
        <f t="shared" si="11"/>
        <v>50.834780930322331</v>
      </c>
      <c r="J85" s="57">
        <f t="shared" si="11"/>
        <v>54.973348618397836</v>
      </c>
      <c r="K85" s="57">
        <f t="shared" si="11"/>
        <v>59.373422144883136</v>
      </c>
      <c r="L85" s="57">
        <f t="shared" si="11"/>
        <v>64.050958263159472</v>
      </c>
      <c r="M85" s="57">
        <f t="shared" si="11"/>
        <v>69.022881892617946</v>
      </c>
    </row>
    <row r="86" spans="1:13" ht="15" customHeight="1" x14ac:dyDescent="0.2">
      <c r="A86" s="42" t="s">
        <v>858</v>
      </c>
      <c r="I86" s="49">
        <f>IF(H85&lt;&gt;0,I85/H85-1,0)</f>
        <v>8.2911886846757987E-2</v>
      </c>
      <c r="J86" s="49">
        <f>IF(I85&lt;&gt;0,J85/I85-1,0)</f>
        <v>8.141212792375585E-2</v>
      </c>
      <c r="K86" s="49">
        <f>IF(J85&lt;&gt;0,K85/J85-1,0)</f>
        <v>8.0040121933062203E-2</v>
      </c>
      <c r="L86" s="49">
        <f>IF(K85&lt;&gt;0,L85/K85-1,0)</f>
        <v>7.8781649251447927E-2</v>
      </c>
      <c r="M86" s="49">
        <f>IF(L85&lt;&gt;0,M85/L85-1,0)</f>
        <v>7.7624500308502098E-2</v>
      </c>
    </row>
    <row r="93" spans="1:13" ht="15" customHeight="1" x14ac:dyDescent="0.2">
      <c r="A93" s="39" t="s">
        <v>860</v>
      </c>
    </row>
    <row r="94" spans="1:13" ht="15" customHeight="1" x14ac:dyDescent="0.2">
      <c r="H94" s="53" t="s">
        <v>840</v>
      </c>
      <c r="I94" s="53" t="s">
        <v>841</v>
      </c>
      <c r="J94" s="53" t="s">
        <v>842</v>
      </c>
      <c r="K94" s="53" t="s">
        <v>843</v>
      </c>
      <c r="L94" s="53" t="s">
        <v>844</v>
      </c>
      <c r="M94" s="53" t="s">
        <v>845</v>
      </c>
    </row>
    <row r="95" spans="1:13" ht="15" customHeight="1" x14ac:dyDescent="0.2">
      <c r="A95" s="42" t="s">
        <v>465</v>
      </c>
      <c r="H95" s="44">
        <f>H7</f>
        <v>100000</v>
      </c>
      <c r="I95" s="44">
        <f>H95*(1+$H$9)</f>
        <v>105000</v>
      </c>
      <c r="J95" s="44">
        <f>I95*(1+$H$9)</f>
        <v>110250</v>
      </c>
      <c r="K95" s="44">
        <f>J95*(1+$H$9)</f>
        <v>115762.5</v>
      </c>
      <c r="L95" s="44">
        <f>K95*(1+$H$9)</f>
        <v>121550.625</v>
      </c>
      <c r="M95" s="44">
        <f>L95*(1+$H$9)</f>
        <v>127628.15625</v>
      </c>
    </row>
    <row r="96" spans="1:13" ht="15" customHeight="1" x14ac:dyDescent="0.2">
      <c r="A96" s="42" t="s">
        <v>466</v>
      </c>
      <c r="H96" s="44">
        <f>H20</f>
        <v>7000.0000000000009</v>
      </c>
      <c r="I96" s="44">
        <f>H96*(1+$H$11)</f>
        <v>7350.0000000000009</v>
      </c>
      <c r="J96" s="44">
        <f>I96*(1+$H$11)</f>
        <v>7717.5000000000009</v>
      </c>
      <c r="K96" s="44">
        <f>J96*(1+$H$11)</f>
        <v>8103.3750000000009</v>
      </c>
      <c r="L96" s="44">
        <f>K96*(1+$H$11)</f>
        <v>8508.5437500000007</v>
      </c>
      <c r="M96" s="44">
        <f>L96*(1+$H$11)</f>
        <v>8933.970937500002</v>
      </c>
    </row>
    <row r="97" spans="1:13" ht="15" customHeight="1" x14ac:dyDescent="0.2">
      <c r="A97" s="42" t="s">
        <v>330</v>
      </c>
      <c r="H97" s="44">
        <f t="shared" ref="H97:M97" si="12">H95-H96</f>
        <v>93000</v>
      </c>
      <c r="I97" s="44">
        <f t="shared" si="12"/>
        <v>97650</v>
      </c>
      <c r="J97" s="44">
        <f t="shared" si="12"/>
        <v>102532.5</v>
      </c>
      <c r="K97" s="44">
        <f t="shared" si="12"/>
        <v>107659.125</v>
      </c>
      <c r="L97" s="44">
        <f t="shared" si="12"/>
        <v>113042.08125</v>
      </c>
      <c r="M97" s="44">
        <f t="shared" si="12"/>
        <v>118694.18531249999</v>
      </c>
    </row>
    <row r="98" spans="1:13" ht="15" customHeight="1" x14ac:dyDescent="0.2">
      <c r="A98" s="42" t="s">
        <v>470</v>
      </c>
      <c r="H98" s="44">
        <f>M24*H12</f>
        <v>0</v>
      </c>
      <c r="I98" s="44">
        <f>$H$98</f>
        <v>0</v>
      </c>
      <c r="J98" s="44">
        <f>$H$98</f>
        <v>0</v>
      </c>
      <c r="K98" s="44">
        <f>$H$98</f>
        <v>0</v>
      </c>
      <c r="L98" s="44">
        <f>$H$98</f>
        <v>0</v>
      </c>
      <c r="M98" s="44">
        <f>$H$98</f>
        <v>0</v>
      </c>
    </row>
    <row r="99" spans="1:13" ht="15" customHeight="1" x14ac:dyDescent="0.2">
      <c r="A99" s="42" t="s">
        <v>377</v>
      </c>
      <c r="H99" s="44">
        <f t="shared" ref="H99:M99" si="13">H97-H98</f>
        <v>93000</v>
      </c>
      <c r="I99" s="44">
        <f t="shared" si="13"/>
        <v>97650</v>
      </c>
      <c r="J99" s="44">
        <f t="shared" si="13"/>
        <v>102532.5</v>
      </c>
      <c r="K99" s="44">
        <f t="shared" si="13"/>
        <v>107659.125</v>
      </c>
      <c r="L99" s="44">
        <f t="shared" si="13"/>
        <v>113042.08125</v>
      </c>
      <c r="M99" s="44">
        <f t="shared" si="13"/>
        <v>118694.18531249999</v>
      </c>
    </row>
    <row r="100" spans="1:13" ht="15" customHeight="1" x14ac:dyDescent="0.2">
      <c r="A100" s="42" t="s">
        <v>856</v>
      </c>
      <c r="H100" s="44">
        <f>H7*H13</f>
        <v>8000</v>
      </c>
      <c r="I100" s="44">
        <f>I95*$H$13</f>
        <v>8400</v>
      </c>
      <c r="J100" s="44">
        <f>J95*$H$13</f>
        <v>8820</v>
      </c>
      <c r="K100" s="44">
        <f>K95*$H$13</f>
        <v>9261</v>
      </c>
      <c r="L100" s="44">
        <f>L95*$H$13</f>
        <v>9724.0500000000011</v>
      </c>
      <c r="M100" s="44">
        <f>M95*$H$13</f>
        <v>10210.252500000001</v>
      </c>
    </row>
    <row r="101" spans="1:13" ht="15" customHeight="1" x14ac:dyDescent="0.2">
      <c r="A101" s="42" t="s">
        <v>501</v>
      </c>
      <c r="H101" s="44">
        <f t="shared" ref="H101:M101" si="14">H99-H100</f>
        <v>85000</v>
      </c>
      <c r="I101" s="44">
        <f t="shared" si="14"/>
        <v>89250</v>
      </c>
      <c r="J101" s="44">
        <f t="shared" si="14"/>
        <v>93712.5</v>
      </c>
      <c r="K101" s="44">
        <f t="shared" si="14"/>
        <v>98398.125</v>
      </c>
      <c r="L101" s="44">
        <f t="shared" si="14"/>
        <v>103318.03125</v>
      </c>
      <c r="M101" s="44">
        <f t="shared" si="14"/>
        <v>108483.93281249999</v>
      </c>
    </row>
    <row r="102" spans="1:13" ht="15" customHeight="1" x14ac:dyDescent="0.2">
      <c r="A102" s="42" t="s">
        <v>642</v>
      </c>
      <c r="H102" s="44">
        <f>M25*H16/1000</f>
        <v>0</v>
      </c>
      <c r="I102" s="44">
        <f>H102*(1+$H$15)</f>
        <v>0</v>
      </c>
      <c r="J102" s="44">
        <f>I102*(1+$H$15)</f>
        <v>0</v>
      </c>
      <c r="K102" s="44">
        <f>J102*(1+$H$15)</f>
        <v>0</v>
      </c>
      <c r="L102" s="44">
        <f>K102*(1+$H$15)</f>
        <v>0</v>
      </c>
      <c r="M102" s="44">
        <f>L102*(1+$H$15)</f>
        <v>0</v>
      </c>
    </row>
    <row r="103" spans="1:13" ht="15" customHeight="1" x14ac:dyDescent="0.2">
      <c r="A103" s="42" t="s">
        <v>857</v>
      </c>
      <c r="H103" s="57">
        <f t="shared" ref="H103:M103" si="15">IF(H102&lt;&gt;0,H101/H102,0)</f>
        <v>0</v>
      </c>
      <c r="I103" s="57">
        <f t="shared" si="15"/>
        <v>0</v>
      </c>
      <c r="J103" s="57">
        <f t="shared" si="15"/>
        <v>0</v>
      </c>
      <c r="K103" s="57">
        <f t="shared" si="15"/>
        <v>0</v>
      </c>
      <c r="L103" s="57">
        <f t="shared" si="15"/>
        <v>0</v>
      </c>
      <c r="M103" s="57">
        <f t="shared" si="15"/>
        <v>0</v>
      </c>
    </row>
    <row r="104" spans="1:13" ht="15" customHeight="1" x14ac:dyDescent="0.2">
      <c r="A104" s="42" t="s">
        <v>858</v>
      </c>
      <c r="I104" s="49">
        <f>IF(H103&lt;&gt;0,I103/H103-1,0)</f>
        <v>0</v>
      </c>
      <c r="J104" s="49">
        <f>IF(I103&lt;&gt;0,J103/I103-1,0)</f>
        <v>0</v>
      </c>
      <c r="K104" s="49">
        <f>IF(J103&lt;&gt;0,K103/J103-1,0)</f>
        <v>0</v>
      </c>
      <c r="L104" s="49">
        <f>IF(K103&lt;&gt;0,L103/K103-1,0)</f>
        <v>0</v>
      </c>
      <c r="M104" s="49">
        <f>IF(L103&lt;&gt;0,M103/L103-1,0)</f>
        <v>0</v>
      </c>
    </row>
    <row r="112" spans="1:13" ht="15" customHeight="1" x14ac:dyDescent="0.2">
      <c r="A112" s="39" t="s">
        <v>861</v>
      </c>
    </row>
    <row r="113" spans="1:10" ht="15" customHeight="1" x14ac:dyDescent="0.2">
      <c r="A113" s="53" t="s">
        <v>862</v>
      </c>
      <c r="H113" s="53" t="s">
        <v>852</v>
      </c>
      <c r="I113" s="53" t="s">
        <v>863</v>
      </c>
      <c r="J113" s="53" t="s">
        <v>864</v>
      </c>
    </row>
    <row r="114" spans="1:10" ht="15" customHeight="1" x14ac:dyDescent="0.2">
      <c r="A114" s="42" t="s">
        <v>865</v>
      </c>
      <c r="H114" s="49">
        <f>IF(H59&lt;&gt;0,(M59/H59)^(1/5)-1,0)</f>
        <v>5.0000000000000044E-2</v>
      </c>
      <c r="I114" s="49">
        <f>IF(H68&lt;&gt;0,(M68/H68)^(1/5)-1,0)</f>
        <v>0</v>
      </c>
      <c r="J114" s="63">
        <f>IF(H114&lt;&gt;0,I114/H114,0)</f>
        <v>0</v>
      </c>
    </row>
    <row r="115" spans="1:10" ht="15" customHeight="1" x14ac:dyDescent="0.2">
      <c r="A115" s="42" t="s">
        <v>866</v>
      </c>
      <c r="H115" s="49">
        <f>IF(H77&lt;&gt;0,(M77/H77)^(1/5)-1,0)</f>
        <v>5.0000000000000044E-2</v>
      </c>
      <c r="I115" s="49">
        <f>IF(H86&lt;&gt;0,(M86/H86)^(1/5)-1,0)</f>
        <v>0</v>
      </c>
      <c r="J115" s="63">
        <f>IF(H115&lt;&gt;0,I115/H115,0)</f>
        <v>0</v>
      </c>
    </row>
    <row r="116" spans="1:10" ht="15" customHeight="1" x14ac:dyDescent="0.2">
      <c r="A116" s="42" t="s">
        <v>867</v>
      </c>
      <c r="H116" s="49">
        <f>IF(H37&lt;&gt;0,(M37/H37)^(1/5)-1,0)</f>
        <v>5.0000000000000044E-2</v>
      </c>
      <c r="I116" s="49">
        <f>IF(H46&lt;&gt;0,(M46/H46)^(1/5)-1,0)</f>
        <v>0</v>
      </c>
      <c r="J116" s="63">
        <f>IF(H116&lt;&gt;0,I116/H116,0)</f>
        <v>0</v>
      </c>
    </row>
    <row r="117" spans="1:10" ht="15" customHeight="1" x14ac:dyDescent="0.2">
      <c r="A117" s="42" t="s">
        <v>868</v>
      </c>
      <c r="H117" s="49">
        <f>IF(H93&lt;&gt;0,(M93/H93)^(1/5)-1,0)</f>
        <v>0</v>
      </c>
      <c r="I117" s="49">
        <f>IF(H102&lt;&gt;0,(M102/H102)^(1/5)-1,0)</f>
        <v>0</v>
      </c>
      <c r="J117" s="63">
        <f>IF(H117&lt;&gt;0,I117/H117,0)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03"/>
  <sheetViews>
    <sheetView zoomScaleNormal="100" workbookViewId="0"/>
  </sheetViews>
  <sheetFormatPr baseColWidth="10" defaultColWidth="8.6640625" defaultRowHeight="15" x14ac:dyDescent="0.2"/>
  <cols>
    <col min="1" max="1" width="44" customWidth="1"/>
    <col min="2" max="19" width="13" customWidth="1"/>
  </cols>
  <sheetData>
    <row r="1" spans="1:7" ht="15" customHeight="1" x14ac:dyDescent="0.2">
      <c r="A1" s="38" t="s">
        <v>0</v>
      </c>
    </row>
    <row r="2" spans="1:7" ht="15" customHeight="1" x14ac:dyDescent="0.2">
      <c r="A2" s="39" t="s">
        <v>869</v>
      </c>
    </row>
    <row r="3" spans="1:7" ht="15" customHeight="1" x14ac:dyDescent="0.2">
      <c r="A3" s="40" t="s">
        <v>153</v>
      </c>
    </row>
    <row r="5" spans="1:7" ht="15" customHeight="1" x14ac:dyDescent="0.2">
      <c r="B5" s="41" t="s">
        <v>216</v>
      </c>
      <c r="C5" s="41" t="s">
        <v>3</v>
      </c>
      <c r="D5" s="41" t="s">
        <v>4</v>
      </c>
      <c r="E5" s="41" t="s">
        <v>5</v>
      </c>
      <c r="F5" s="41" t="s">
        <v>6</v>
      </c>
      <c r="G5" s="41" t="s">
        <v>7</v>
      </c>
    </row>
    <row r="7" spans="1:7" ht="15" customHeight="1" x14ac:dyDescent="0.2">
      <c r="A7" s="39" t="s">
        <v>870</v>
      </c>
    </row>
    <row r="10" spans="1:7" ht="15" customHeight="1" x14ac:dyDescent="0.2">
      <c r="A10" s="42" t="s">
        <v>871</v>
      </c>
      <c r="B10" s="45">
        <f>BS!L38</f>
        <v>0</v>
      </c>
      <c r="C10" s="45">
        <f>Assumptions!B54</f>
        <v>142540.12580471102</v>
      </c>
      <c r="D10" s="45">
        <f>Assumptions!C54</f>
        <v>293382.50584213133</v>
      </c>
      <c r="E10" s="45">
        <f>Assumptions!D54</f>
        <v>403728.33662589733</v>
      </c>
      <c r="F10" s="45">
        <f>Assumptions!E54</f>
        <v>500619.06660028448</v>
      </c>
      <c r="G10" s="45">
        <f>Assumptions!F54</f>
        <v>586361.91069741594</v>
      </c>
    </row>
    <row r="11" spans="1:7" ht="15" customHeight="1" x14ac:dyDescent="0.2">
      <c r="A11" s="42" t="s">
        <v>872</v>
      </c>
      <c r="C11" s="45">
        <f>Assumptions!B103</f>
        <v>-142540.12580471102</v>
      </c>
      <c r="D11" s="45">
        <f>Assumptions!C103</f>
        <v>-150842.38003742034</v>
      </c>
      <c r="E11" s="45">
        <f>Assumptions!D103</f>
        <v>-110345.83078376602</v>
      </c>
      <c r="F11" s="45">
        <f>Assumptions!E103</f>
        <v>-96890.729974387155</v>
      </c>
      <c r="G11" s="45">
        <f>Assumptions!F103</f>
        <v>-85742.844097131456</v>
      </c>
    </row>
    <row r="13" spans="1:7" ht="15" customHeight="1" x14ac:dyDescent="0.2">
      <c r="A13" s="42" t="s">
        <v>331</v>
      </c>
      <c r="B13" s="64">
        <f>BS!L55</f>
        <v>9.2652765415034111</v>
      </c>
      <c r="C13" s="64">
        <f>BS!M55</f>
        <v>9.5868207641896408</v>
      </c>
      <c r="D13" s="64">
        <f>BS!N55</f>
        <v>9.4311741996277014</v>
      </c>
      <c r="E13" s="64">
        <f>BS!O55</f>
        <v>9.1263247133675893</v>
      </c>
      <c r="F13" s="64">
        <f>BS!P55</f>
        <v>8.8847545712175116</v>
      </c>
      <c r="G13" s="64">
        <f>BS!Q55</f>
        <v>8.6831835988014259</v>
      </c>
    </row>
    <row r="14" spans="1:7" ht="15" customHeight="1" x14ac:dyDescent="0.2">
      <c r="A14" s="42" t="s">
        <v>849</v>
      </c>
      <c r="B14" s="55">
        <f>FFO_AFFO!L29</f>
        <v>3.9988716714307206</v>
      </c>
      <c r="C14" s="55">
        <f>FFO_AFFO!M29</f>
        <v>4.0075556968055048</v>
      </c>
      <c r="D14" s="55">
        <f>FFO_AFFO!N29</f>
        <v>4.3491868660896751</v>
      </c>
      <c r="E14" s="55">
        <f>FFO_AFFO!O29</f>
        <v>4.7123523930500424</v>
      </c>
      <c r="F14" s="55">
        <f>FFO_AFFO!P29</f>
        <v>5.0718930794882535</v>
      </c>
      <c r="G14" s="55">
        <f>FFO_AFFO!Q29</f>
        <v>5.3556069275084761</v>
      </c>
    </row>
    <row r="15" spans="1:7" ht="15" customHeight="1" x14ac:dyDescent="0.2">
      <c r="A15" s="42" t="s">
        <v>799</v>
      </c>
      <c r="B15" s="55">
        <f>'CFS-FCF'!L11</f>
        <v>1.8600684519332029</v>
      </c>
      <c r="C15" s="55">
        <f>'CFS-FCF'!M11</f>
        <v>1.7242002663281235</v>
      </c>
      <c r="D15" s="55">
        <f>'CFS-FCF'!N11</f>
        <v>1.9373849899170668</v>
      </c>
      <c r="E15" s="55">
        <f>'CFS-FCF'!O11</f>
        <v>2.2218418239443523</v>
      </c>
      <c r="F15" s="55">
        <f>'CFS-FCF'!P11</f>
        <v>2.4679975614561509</v>
      </c>
      <c r="G15" s="55">
        <f>'CFS-FCF'!Q11</f>
        <v>2.6708659644065391</v>
      </c>
    </row>
    <row r="16" spans="1:7" ht="15" customHeight="1" x14ac:dyDescent="0.2">
      <c r="A16" s="42" t="s">
        <v>397</v>
      </c>
      <c r="B16" s="50">
        <f>'CFS-FCF'!L17</f>
        <v>0.7873643982974593</v>
      </c>
      <c r="C16" s="50">
        <f>'CFS-FCF'!M17</f>
        <v>1.0439622560976054</v>
      </c>
      <c r="D16" s="50">
        <f>'CFS-FCF'!N17</f>
        <v>0.9548953923087804</v>
      </c>
      <c r="E16" s="50">
        <f>'CFS-FCF'!O17</f>
        <v>0.85514638329518955</v>
      </c>
      <c r="F16" s="50">
        <f>'CFS-FCF'!P17</f>
        <v>0.79011423287204319</v>
      </c>
      <c r="G16" s="50">
        <f>'CFS-FCF'!Q17</f>
        <v>0.74882080443314036</v>
      </c>
    </row>
    <row r="18" spans="1:7" ht="15" customHeight="1" x14ac:dyDescent="0.2">
      <c r="A18" s="42" t="s">
        <v>873</v>
      </c>
      <c r="B18" s="45">
        <f>BS!L49</f>
        <v>3490395</v>
      </c>
      <c r="C18" s="45">
        <f>BS!M49</f>
        <v>3682540.1258047111</v>
      </c>
      <c r="D18" s="45">
        <f>BS!N49</f>
        <v>3806382.5058421316</v>
      </c>
      <c r="E18" s="45">
        <f>BS!O49</f>
        <v>3862728.3366258973</v>
      </c>
      <c r="F18" s="45">
        <f>BS!P49</f>
        <v>3903619.0666002845</v>
      </c>
      <c r="G18" s="45">
        <f>BS!Q49</f>
        <v>3931361.9106974159</v>
      </c>
    </row>
    <row r="22" spans="1:7" ht="15" customHeight="1" x14ac:dyDescent="0.2">
      <c r="A22" s="39" t="s">
        <v>874</v>
      </c>
    </row>
    <row r="23" spans="1:7" ht="15" customHeight="1" x14ac:dyDescent="0.2">
      <c r="A23" s="40" t="s">
        <v>875</v>
      </c>
    </row>
    <row r="25" spans="1:7" ht="15" customHeight="1" x14ac:dyDescent="0.2">
      <c r="A25" s="42" t="s">
        <v>876</v>
      </c>
      <c r="C25" s="45">
        <f>MAX(Assumptions!B92,0)</f>
        <v>66000</v>
      </c>
      <c r="D25" s="45">
        <f>MAX(Assumptions!C92,0)</f>
        <v>66000</v>
      </c>
      <c r="E25" s="45">
        <f>MAX(Assumptions!D92,0)</f>
        <v>66000</v>
      </c>
      <c r="F25" s="45">
        <f>MAX(Assumptions!E92,0)</f>
        <v>66000</v>
      </c>
      <c r="G25" s="45">
        <f>MAX(Assumptions!F92,0)</f>
        <v>66000</v>
      </c>
    </row>
    <row r="26" spans="1:7" ht="15" customHeight="1" x14ac:dyDescent="0.2">
      <c r="A26" s="42" t="s">
        <v>877</v>
      </c>
      <c r="C26" s="55">
        <f>Assumptions!B73</f>
        <v>1050</v>
      </c>
      <c r="D26" s="55">
        <f>Assumptions!C73</f>
        <v>1050</v>
      </c>
      <c r="E26" s="55">
        <f>Assumptions!D73</f>
        <v>1100</v>
      </c>
      <c r="F26" s="55">
        <f>Assumptions!E73</f>
        <v>1100</v>
      </c>
      <c r="G26" s="55">
        <f>Assumptions!F73</f>
        <v>1150</v>
      </c>
    </row>
    <row r="27" spans="1:7" ht="15" customHeight="1" x14ac:dyDescent="0.2">
      <c r="A27" s="42" t="s">
        <v>140</v>
      </c>
      <c r="C27" s="44">
        <f>IF(C26&lt;&gt;0,C25/C26,0)</f>
        <v>62.857142857142854</v>
      </c>
      <c r="D27" s="44">
        <f>IF(D26&lt;&gt;0,D25/D26,0)</f>
        <v>62.857142857142854</v>
      </c>
      <c r="E27" s="44">
        <f>IF(E26&lt;&gt;0,E25/E26,0)</f>
        <v>60</v>
      </c>
      <c r="F27" s="44">
        <f>IF(F26&lt;&gt;0,F25/F26,0)</f>
        <v>60</v>
      </c>
      <c r="G27" s="44">
        <f>IF(G26&lt;&gt;0,G25/G26,0)</f>
        <v>57.391304347826086</v>
      </c>
    </row>
    <row r="28" spans="1:7" ht="15" customHeight="1" x14ac:dyDescent="0.2">
      <c r="A28" s="42" t="s">
        <v>721</v>
      </c>
      <c r="B28" s="45">
        <f>BS!L53</f>
        <v>44776</v>
      </c>
      <c r="C28" s="44">
        <f>B28-C27</f>
        <v>44713.142857142855</v>
      </c>
      <c r="D28" s="44">
        <f>C28-D27</f>
        <v>44650.28571428571</v>
      </c>
      <c r="E28" s="44">
        <f>D28-E27</f>
        <v>44590.28571428571</v>
      </c>
      <c r="F28" s="44">
        <f>E28-F27</f>
        <v>44530.28571428571</v>
      </c>
      <c r="G28" s="44">
        <f>F28-G27</f>
        <v>44472.894409937886</v>
      </c>
    </row>
    <row r="30" spans="1:7" ht="15" customHeight="1" x14ac:dyDescent="0.2">
      <c r="A30" s="39" t="s">
        <v>878</v>
      </c>
    </row>
    <row r="31" spans="1:7" ht="15" customHeight="1" x14ac:dyDescent="0.2">
      <c r="A31" s="42" t="s">
        <v>879</v>
      </c>
      <c r="C31" s="57">
        <f>C14</f>
        <v>4.0075556968055048</v>
      </c>
      <c r="D31" s="57">
        <f>D14</f>
        <v>4.3491868660896751</v>
      </c>
      <c r="E31" s="57">
        <f>E14</f>
        <v>4.7123523930500424</v>
      </c>
      <c r="F31" s="57">
        <f>F14</f>
        <v>5.0718930794882535</v>
      </c>
      <c r="G31" s="57">
        <f>G14</f>
        <v>5.3556069275084761</v>
      </c>
    </row>
    <row r="32" spans="1:7" ht="15" customHeight="1" x14ac:dyDescent="0.2">
      <c r="A32" s="42" t="s">
        <v>880</v>
      </c>
      <c r="C32" s="55">
        <f>IF(C28&lt;&gt;0,FFO_AFFO!M28/C28,0)</f>
        <v>4.7771797058012142</v>
      </c>
      <c r="D32" s="55">
        <f>IF(D28&lt;&gt;0,FFO_AFFO!N28/D28,0)</f>
        <v>5.1917172814061594</v>
      </c>
      <c r="E32" s="55">
        <f>IF(E28&lt;&gt;0,FFO_AFFO!O28/E28,0)</f>
        <v>5.6328049602314758</v>
      </c>
      <c r="F32" s="55">
        <f>IF(F28&lt;&gt;0,FFO_AFFO!P28/F28,0)</f>
        <v>6.0707425699269439</v>
      </c>
      <c r="G32" s="55">
        <f>IF(G28&lt;&gt;0,FFO_AFFO!Q28/G28,0)</f>
        <v>6.4186029046136124</v>
      </c>
    </row>
    <row r="33" spans="1:7" ht="15" customHeight="1" x14ac:dyDescent="0.2">
      <c r="A33" s="42" t="s">
        <v>746</v>
      </c>
      <c r="C33" s="57">
        <f>C32-C31</f>
        <v>0.76962400899570937</v>
      </c>
      <c r="D33" s="57">
        <f>D32-D31</f>
        <v>0.84253041531648432</v>
      </c>
      <c r="E33" s="57">
        <f>E32-E31</f>
        <v>0.92045256718143342</v>
      </c>
      <c r="F33" s="57">
        <f>F32-F31</f>
        <v>0.99884949043869042</v>
      </c>
      <c r="G33" s="57">
        <f>G32-G31</f>
        <v>1.0629959771051363</v>
      </c>
    </row>
    <row r="34" spans="1:7" ht="15" customHeight="1" x14ac:dyDescent="0.2">
      <c r="A34" s="42" t="s">
        <v>747</v>
      </c>
      <c r="C34" s="49">
        <f>IF(C31&lt;&gt;0,C33/C31,0)</f>
        <v>0.19204324711174708</v>
      </c>
      <c r="D34" s="49">
        <f>IF(D31&lt;&gt;0,D33/D31,0)</f>
        <v>0.19372136476490323</v>
      </c>
      <c r="E34" s="49">
        <f>IF(E31&lt;&gt;0,E33/E31,0)</f>
        <v>0.19532761780272462</v>
      </c>
      <c r="F34" s="49">
        <f>IF(F31&lt;&gt;0,F33/F31,0)</f>
        <v>0.19693819936351514</v>
      </c>
      <c r="G34" s="49">
        <f>IF(G31&lt;&gt;0,G33/G31,0)</f>
        <v>0.19848282211399351</v>
      </c>
    </row>
    <row r="38" spans="1:7" ht="15" customHeight="1" x14ac:dyDescent="0.2">
      <c r="A38" s="39" t="s">
        <v>881</v>
      </c>
    </row>
    <row r="39" spans="1:7" ht="15" customHeight="1" x14ac:dyDescent="0.2">
      <c r="A39" s="42" t="s">
        <v>882</v>
      </c>
      <c r="B39" s="64">
        <f>BS!L55</f>
        <v>9.2652765415034111</v>
      </c>
    </row>
    <row r="40" spans="1:7" ht="15" customHeight="1" x14ac:dyDescent="0.2">
      <c r="A40" s="42" t="s">
        <v>883</v>
      </c>
      <c r="C40" s="64">
        <f>BS!M55</f>
        <v>9.5868207641896408</v>
      </c>
      <c r="D40" s="64">
        <f>BS!N55</f>
        <v>9.4311741996277014</v>
      </c>
      <c r="E40" s="64">
        <f>BS!O55</f>
        <v>9.1263247133675893</v>
      </c>
      <c r="F40" s="64">
        <f>BS!P55</f>
        <v>8.8847545712175116</v>
      </c>
      <c r="G40" s="64">
        <f>BS!Q55</f>
        <v>8.6831835988014259</v>
      </c>
    </row>
    <row r="41" spans="1:7" ht="15" customHeight="1" x14ac:dyDescent="0.2">
      <c r="A41" s="42" t="s">
        <v>884</v>
      </c>
      <c r="C41" s="63">
        <f>B40-C40</f>
        <v>-9.5868207641896408</v>
      </c>
      <c r="D41" s="63">
        <f>C40-D40</f>
        <v>0.15564656456193937</v>
      </c>
      <c r="E41" s="63">
        <f>D40-E40</f>
        <v>0.3048494862601121</v>
      </c>
      <c r="F41" s="63">
        <f>E40-F40</f>
        <v>0.24157014215007777</v>
      </c>
      <c r="G41" s="63">
        <f>F40-G40</f>
        <v>0.20157097241608568</v>
      </c>
    </row>
    <row r="42" spans="1:7" ht="15" customHeight="1" x14ac:dyDescent="0.2">
      <c r="A42" s="42" t="s">
        <v>885</v>
      </c>
      <c r="C42" s="63">
        <f>B39-C40</f>
        <v>-0.32154422268622973</v>
      </c>
      <c r="D42" s="63">
        <f>B39-D40</f>
        <v>-0.16589765812429036</v>
      </c>
      <c r="E42" s="63">
        <f>B39-E40</f>
        <v>0.13895182813582174</v>
      </c>
      <c r="F42" s="63">
        <f>B39-F40</f>
        <v>0.38052197028589951</v>
      </c>
      <c r="G42" s="63">
        <f>B39-G40</f>
        <v>0.58209294270198519</v>
      </c>
    </row>
    <row r="44" spans="1:7" ht="15" customHeight="1" x14ac:dyDescent="0.2">
      <c r="A44" s="42" t="s">
        <v>886</v>
      </c>
      <c r="C44" s="55">
        <f>FFO_AFFO!M29</f>
        <v>4.0075556968055048</v>
      </c>
      <c r="D44" s="55">
        <f>FFO_AFFO!N29</f>
        <v>4.3491868660896751</v>
      </c>
      <c r="E44" s="55">
        <f>FFO_AFFO!O29</f>
        <v>4.7123523930500424</v>
      </c>
      <c r="F44" s="55">
        <f>FFO_AFFO!P29</f>
        <v>5.0718930794882535</v>
      </c>
      <c r="G44" s="55">
        <f>FFO_AFFO!Q29</f>
        <v>5.3556069275084761</v>
      </c>
    </row>
    <row r="45" spans="1:7" ht="15" customHeight="1" x14ac:dyDescent="0.2">
      <c r="A45" s="42" t="s">
        <v>887</v>
      </c>
      <c r="C45" s="55">
        <f>FFO_AFFO!M19</f>
        <v>4.6941685798574122</v>
      </c>
      <c r="D45" s="55">
        <f>FFO_AFFO!N19</f>
        <v>5.046744089354215</v>
      </c>
      <c r="E45" s="55">
        <f>FFO_AFFO!O19</f>
        <v>5.4488593765814164</v>
      </c>
      <c r="F45" s="55">
        <f>FFO_AFFO!P19</f>
        <v>5.8141328126548153</v>
      </c>
      <c r="G45" s="55">
        <f>FFO_AFFO!Q19</f>
        <v>6.1375781595284886</v>
      </c>
    </row>
    <row r="46" spans="1:7" ht="15" customHeight="1" x14ac:dyDescent="0.2">
      <c r="A46" s="39" t="s">
        <v>888</v>
      </c>
    </row>
    <row r="47" spans="1:7" ht="15" customHeight="1" x14ac:dyDescent="0.2">
      <c r="A47" s="40" t="s">
        <v>889</v>
      </c>
    </row>
    <row r="49" spans="1:7" ht="15" customHeight="1" x14ac:dyDescent="0.2">
      <c r="A49" s="42" t="s">
        <v>890</v>
      </c>
      <c r="B49" s="55">
        <f>FFO_AFFO!L33</f>
        <v>1.6</v>
      </c>
    </row>
    <row r="50" spans="1:7" ht="15" customHeight="1" x14ac:dyDescent="0.2">
      <c r="A50" s="42" t="s">
        <v>849</v>
      </c>
      <c r="B50" s="55">
        <f>FFO_AFFO!L29</f>
        <v>3.9988716714307206</v>
      </c>
      <c r="C50" s="55">
        <f>FFO_AFFO!M29</f>
        <v>4.0075556968055048</v>
      </c>
      <c r="D50" s="55">
        <f>FFO_AFFO!N29</f>
        <v>4.3491868660896751</v>
      </c>
      <c r="E50" s="55">
        <f>FFO_AFFO!O29</f>
        <v>4.7123523930500424</v>
      </c>
      <c r="F50" s="55">
        <f>FFO_AFFO!P29</f>
        <v>5.0718930794882535</v>
      </c>
      <c r="G50" s="55">
        <f>FFO_AFFO!Q29</f>
        <v>5.3556069275084761</v>
      </c>
    </row>
    <row r="51" spans="1:7" ht="15" customHeight="1" x14ac:dyDescent="0.2">
      <c r="A51" s="42" t="s">
        <v>891</v>
      </c>
      <c r="B51" s="54">
        <v>0.5</v>
      </c>
    </row>
    <row r="52" spans="1:7" ht="15" customHeight="1" x14ac:dyDescent="0.2">
      <c r="A52" s="42" t="s">
        <v>892</v>
      </c>
      <c r="B52" s="57">
        <f t="shared" ref="B52:G52" si="0">B50*$B$51</f>
        <v>1.9994358357153603</v>
      </c>
      <c r="C52" s="57">
        <f t="shared" si="0"/>
        <v>2.0037778484027524</v>
      </c>
      <c r="D52" s="57">
        <f t="shared" si="0"/>
        <v>2.1745934330448375</v>
      </c>
      <c r="E52" s="57">
        <f t="shared" si="0"/>
        <v>2.3561761965250212</v>
      </c>
      <c r="F52" s="57">
        <f t="shared" si="0"/>
        <v>2.5359465397441268</v>
      </c>
      <c r="G52" s="57">
        <f t="shared" si="0"/>
        <v>2.6778034637542381</v>
      </c>
    </row>
    <row r="53" spans="1:7" ht="15" customHeight="1" x14ac:dyDescent="0.2">
      <c r="A53" s="42" t="s">
        <v>893</v>
      </c>
      <c r="B53" s="49">
        <f>IF(B49&lt;&gt;0,B52/B49-1,0)</f>
        <v>0.24964739732210006</v>
      </c>
    </row>
    <row r="54" spans="1:7" ht="15" customHeight="1" x14ac:dyDescent="0.2">
      <c r="A54" s="42" t="s">
        <v>894</v>
      </c>
      <c r="B54" s="49">
        <f t="shared" ref="B54:G54" si="1">B52/62</f>
        <v>3.2248965092183231E-2</v>
      </c>
      <c r="C54" s="49">
        <f t="shared" si="1"/>
        <v>3.2318997554883107E-2</v>
      </c>
      <c r="D54" s="49">
        <f t="shared" si="1"/>
        <v>3.5074087629755446E-2</v>
      </c>
      <c r="E54" s="49">
        <f t="shared" si="1"/>
        <v>3.8002841879435825E-2</v>
      </c>
      <c r="F54" s="49">
        <f t="shared" si="1"/>
        <v>4.0902363544260106E-2</v>
      </c>
      <c r="G54" s="49">
        <f t="shared" si="1"/>
        <v>4.3190378447649003E-2</v>
      </c>
    </row>
    <row r="58" spans="1:7" ht="15" customHeight="1" x14ac:dyDescent="0.2">
      <c r="A58" s="39" t="s">
        <v>895</v>
      </c>
    </row>
    <row r="60" spans="1:7" ht="15" customHeight="1" x14ac:dyDescent="0.2">
      <c r="A60" s="39" t="s">
        <v>896</v>
      </c>
    </row>
    <row r="61" spans="1:7" ht="15" customHeight="1" x14ac:dyDescent="0.2">
      <c r="A61" s="42" t="s">
        <v>897</v>
      </c>
      <c r="B61" s="55">
        <f>FFO_AFFO!Q29</f>
        <v>5.3556069275084761</v>
      </c>
    </row>
    <row r="62" spans="1:7" ht="15" customHeight="1" x14ac:dyDescent="0.2">
      <c r="A62" s="42" t="s">
        <v>898</v>
      </c>
      <c r="B62" s="64">
        <f>BS!Q55</f>
        <v>8.6831835988014259</v>
      </c>
    </row>
    <row r="63" spans="1:7" ht="15" customHeight="1" x14ac:dyDescent="0.2">
      <c r="A63" s="42" t="s">
        <v>899</v>
      </c>
      <c r="B63" s="50">
        <f>'CFS-FCF'!Q17</f>
        <v>0.74882080443314036</v>
      </c>
    </row>
    <row r="66" spans="1:2" ht="15" customHeight="1" x14ac:dyDescent="0.2">
      <c r="A66" s="39" t="s">
        <v>900</v>
      </c>
    </row>
    <row r="67" spans="1:2" ht="15" customHeight="1" x14ac:dyDescent="0.2">
      <c r="A67" s="42" t="s">
        <v>901</v>
      </c>
      <c r="B67" s="55">
        <f>'NAV &amp; Buyback'!B72</f>
        <v>4.7927527152469471</v>
      </c>
    </row>
    <row r="68" spans="1:2" ht="15" customHeight="1" x14ac:dyDescent="0.2">
      <c r="A68" s="42" t="s">
        <v>902</v>
      </c>
      <c r="B68" s="55">
        <f>'NAV &amp; Buyback'!B73</f>
        <v>4.3690717748287256E-2</v>
      </c>
    </row>
    <row r="69" spans="1:2" ht="15" customHeight="1" x14ac:dyDescent="0.2">
      <c r="A69" s="42" t="s">
        <v>903</v>
      </c>
      <c r="B69" s="50">
        <f>'NAV &amp; Buyback'!B74</f>
        <v>9.1998625773466926E-3</v>
      </c>
    </row>
    <row r="72" spans="1:2" ht="15" customHeight="1" x14ac:dyDescent="0.2">
      <c r="A72" s="39" t="s">
        <v>904</v>
      </c>
    </row>
    <row r="73" spans="1:2" ht="15" customHeight="1" x14ac:dyDescent="0.2">
      <c r="A73" s="40" t="s">
        <v>905</v>
      </c>
    </row>
    <row r="74" spans="1:2" ht="15" customHeight="1" x14ac:dyDescent="0.2">
      <c r="A74" s="40" t="s">
        <v>906</v>
      </c>
    </row>
    <row r="75" spans="1:2" ht="15" customHeight="1" x14ac:dyDescent="0.2">
      <c r="A75" s="40" t="s">
        <v>907</v>
      </c>
    </row>
    <row r="78" spans="1:2" ht="15" customHeight="1" x14ac:dyDescent="0.2">
      <c r="A78" s="39" t="s">
        <v>908</v>
      </c>
    </row>
    <row r="79" spans="1:2" ht="15" customHeight="1" x14ac:dyDescent="0.2">
      <c r="A79" s="40" t="s">
        <v>909</v>
      </c>
    </row>
    <row r="81" spans="1:5" ht="15" customHeight="1" x14ac:dyDescent="0.2">
      <c r="A81" s="53" t="s">
        <v>910</v>
      </c>
      <c r="B81" s="53" t="s">
        <v>216</v>
      </c>
      <c r="C81" s="41" t="s">
        <v>911</v>
      </c>
      <c r="D81" s="41" t="s">
        <v>912</v>
      </c>
      <c r="E81" s="41" t="s">
        <v>913</v>
      </c>
    </row>
    <row r="82" spans="1:5" ht="15" customHeight="1" x14ac:dyDescent="0.2">
      <c r="A82" s="42" t="s">
        <v>849</v>
      </c>
      <c r="B82" s="55">
        <f>FFO_AFFO!L29</f>
        <v>3.9988716714307206</v>
      </c>
      <c r="C82" s="55">
        <f>FFO_AFFO!Q29</f>
        <v>5.3556069275084761</v>
      </c>
      <c r="D82" s="57">
        <f>IF(Q28&lt;&gt;0,FFO_AFFO!Q28/Q28,0)</f>
        <v>0</v>
      </c>
      <c r="E82" s="57">
        <f t="shared" ref="E82:E93" si="2">C82-B82</f>
        <v>1.3567352560777555</v>
      </c>
    </row>
    <row r="83" spans="1:5" ht="15" customHeight="1" x14ac:dyDescent="0.2">
      <c r="A83" s="42" t="s">
        <v>798</v>
      </c>
      <c r="B83" s="55">
        <f>FFO_AFFO!L19</f>
        <v>4.6570633368436889</v>
      </c>
      <c r="C83" s="55">
        <f>FFO_AFFO!Q19</f>
        <v>6.1375781595284886</v>
      </c>
      <c r="E83" s="57">
        <f t="shared" si="2"/>
        <v>1.4805148226847997</v>
      </c>
    </row>
    <row r="84" spans="1:5" ht="15" customHeight="1" x14ac:dyDescent="0.2">
      <c r="A84" s="42" t="s">
        <v>799</v>
      </c>
      <c r="B84" s="55">
        <f>'CFS-FCF'!L11</f>
        <v>1.8600684519332029</v>
      </c>
      <c r="C84" s="55">
        <f>'CFS-FCF'!Q11</f>
        <v>2.6708659644065391</v>
      </c>
      <c r="E84" s="57">
        <f t="shared" si="2"/>
        <v>0.8107975124733362</v>
      </c>
    </row>
    <row r="85" spans="1:5" ht="15" customHeight="1" x14ac:dyDescent="0.2">
      <c r="A85" s="42" t="s">
        <v>110</v>
      </c>
      <c r="B85" s="55">
        <f>FFO_AFFO!L33</f>
        <v>1.6</v>
      </c>
      <c r="C85" s="55">
        <f>FFO_AFFO!Q33</f>
        <v>2</v>
      </c>
      <c r="E85" s="57">
        <f t="shared" si="2"/>
        <v>0.39999999999999991</v>
      </c>
    </row>
    <row r="86" spans="1:5" ht="15" customHeight="1" x14ac:dyDescent="0.2">
      <c r="A86" s="42" t="s">
        <v>385</v>
      </c>
      <c r="B86" s="50">
        <f>FFO_AFFO!L35</f>
        <v>0.3662412294727338</v>
      </c>
      <c r="C86" s="50">
        <f>FFO_AFFO!Q35</f>
        <v>0.37344040126007449</v>
      </c>
      <c r="E86" s="49">
        <f t="shared" si="2"/>
        <v>7.1991717873406968E-3</v>
      </c>
    </row>
    <row r="87" spans="1:5" ht="15" customHeight="1" x14ac:dyDescent="0.2">
      <c r="A87" s="42" t="s">
        <v>862</v>
      </c>
      <c r="B87" s="64">
        <f>BS!L55</f>
        <v>9.2652765415034111</v>
      </c>
      <c r="C87" s="64">
        <f>BS!Q55</f>
        <v>8.6831835988014259</v>
      </c>
      <c r="E87" s="62">
        <f t="shared" si="2"/>
        <v>-0.58209294270198519</v>
      </c>
    </row>
    <row r="88" spans="1:5" ht="15" customHeight="1" x14ac:dyDescent="0.2">
      <c r="A88" s="42" t="s">
        <v>914</v>
      </c>
      <c r="B88" s="55">
        <f>IS!L20</f>
        <v>417561</v>
      </c>
      <c r="C88" s="55">
        <f>IS!Q20</f>
        <v>510839.88222043857</v>
      </c>
      <c r="E88" s="57">
        <f t="shared" si="2"/>
        <v>93278.882220438565</v>
      </c>
    </row>
    <row r="89" spans="1:5" ht="15" customHeight="1" x14ac:dyDescent="0.2">
      <c r="A89" s="42" t="s">
        <v>792</v>
      </c>
      <c r="B89" s="55">
        <f>BS!L49</f>
        <v>3490395</v>
      </c>
      <c r="C89" s="55">
        <f>BS!Q49</f>
        <v>3931361.9106974159</v>
      </c>
      <c r="E89" s="57">
        <f t="shared" si="2"/>
        <v>440966.91069741594</v>
      </c>
    </row>
    <row r="90" spans="1:5" ht="15" customHeight="1" x14ac:dyDescent="0.2">
      <c r="A90" s="42" t="s">
        <v>571</v>
      </c>
      <c r="B90" s="55">
        <f>BS!L50</f>
        <v>3445395</v>
      </c>
      <c r="C90" s="55">
        <f>BS!Q50</f>
        <v>3886361.9106974159</v>
      </c>
      <c r="E90" s="57">
        <f t="shared" si="2"/>
        <v>440966.91069741594</v>
      </c>
    </row>
    <row r="91" spans="1:5" ht="15" customHeight="1" x14ac:dyDescent="0.2">
      <c r="A91" s="42" t="s">
        <v>160</v>
      </c>
      <c r="B91" s="45">
        <f>BS!L53</f>
        <v>44776</v>
      </c>
      <c r="C91" s="45">
        <f>BS!Q53</f>
        <v>49100</v>
      </c>
      <c r="E91" s="44">
        <f t="shared" si="2"/>
        <v>4324</v>
      </c>
    </row>
    <row r="92" spans="1:5" ht="15" customHeight="1" x14ac:dyDescent="0.2">
      <c r="A92" s="42" t="s">
        <v>172</v>
      </c>
      <c r="B92" s="55">
        <f>BS!L52</f>
        <v>80.400214400571741</v>
      </c>
      <c r="C92" s="55">
        <f>BS!Q52</f>
        <v>142.31436806474537</v>
      </c>
      <c r="E92" s="57">
        <f t="shared" si="2"/>
        <v>61.914153664173625</v>
      </c>
    </row>
    <row r="93" spans="1:5" ht="15" customHeight="1" x14ac:dyDescent="0.2">
      <c r="A93" s="42" t="s">
        <v>915</v>
      </c>
      <c r="B93" s="64">
        <f>'CFS-FCF'!L40</f>
        <v>3.1081401860566196</v>
      </c>
      <c r="C93" s="64">
        <f>'CFS-FCF'!Q40</f>
        <v>3.5909153572414048</v>
      </c>
      <c r="E93" s="62">
        <f t="shared" si="2"/>
        <v>0.48277517118478519</v>
      </c>
    </row>
    <row r="96" spans="1:5" ht="15" customHeight="1" x14ac:dyDescent="0.2">
      <c r="A96" s="39" t="s">
        <v>916</v>
      </c>
    </row>
    <row r="97" spans="1:2" ht="15" customHeight="1" x14ac:dyDescent="0.2">
      <c r="A97" s="42" t="s">
        <v>917</v>
      </c>
      <c r="B97" s="50">
        <f>(IS!Q8/IS!L8)^(1/5)-1</f>
        <v>4.6629883147111251E-2</v>
      </c>
    </row>
    <row r="98" spans="1:2" ht="15" customHeight="1" x14ac:dyDescent="0.2">
      <c r="A98" s="42" t="s">
        <v>852</v>
      </c>
      <c r="B98" s="50">
        <f>(IS!Q20/IS!L20)^(1/5)-1</f>
        <v>4.114920879022721E-2</v>
      </c>
    </row>
    <row r="99" spans="1:2" ht="15" customHeight="1" x14ac:dyDescent="0.2">
      <c r="A99" s="42" t="s">
        <v>918</v>
      </c>
      <c r="B99" s="50">
        <f>(FFO_AFFO!Q18/FFO_AFFO!L18)^(1/5)-1</f>
        <v>5.7253878234636346E-2</v>
      </c>
    </row>
    <row r="100" spans="1:2" ht="15" customHeight="1" x14ac:dyDescent="0.2">
      <c r="A100" s="42" t="s">
        <v>919</v>
      </c>
      <c r="B100" s="50">
        <f>(FFO_AFFO!Q28/FFO_AFFO!L28)^(1/5)-1</f>
        <v>6.0660887100808747E-2</v>
      </c>
    </row>
    <row r="101" spans="1:2" ht="15" customHeight="1" x14ac:dyDescent="0.2">
      <c r="A101" s="42" t="s">
        <v>920</v>
      </c>
      <c r="B101" s="50">
        <f>(FFO_AFFO!Q19/FFO_AFFO!L19)^(1/5)-1</f>
        <v>5.6761489303153834E-2</v>
      </c>
    </row>
    <row r="102" spans="1:2" ht="15" customHeight="1" x14ac:dyDescent="0.2">
      <c r="A102" s="42" t="s">
        <v>853</v>
      </c>
      <c r="B102" s="50">
        <f>(FFO_AFFO!Q29/FFO_AFFO!L29)^(1/5)-1</f>
        <v>6.0166911442155246E-2</v>
      </c>
    </row>
    <row r="103" spans="1:2" ht="15" customHeight="1" x14ac:dyDescent="0.2">
      <c r="A103" s="42" t="s">
        <v>921</v>
      </c>
      <c r="B103" s="50">
        <f>(BS!Q52/BS!L52)^(1/5)-1</f>
        <v>0.12098114649237246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topLeftCell="C1"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248</v>
      </c>
    </row>
    <row r="3" spans="1:17" ht="15" customHeight="1" x14ac:dyDescent="0.2">
      <c r="A3" s="4" t="s">
        <v>249</v>
      </c>
    </row>
    <row r="5" spans="1:17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7" ht="15" customHeight="1" x14ac:dyDescent="0.2">
      <c r="A7" s="3" t="s">
        <v>261</v>
      </c>
    </row>
    <row r="8" spans="1:17" ht="15" customHeight="1" x14ac:dyDescent="0.2">
      <c r="A8" s="8" t="s">
        <v>262</v>
      </c>
      <c r="B8" s="13">
        <v>476148</v>
      </c>
      <c r="C8" s="13">
        <v>438846</v>
      </c>
      <c r="D8" s="13">
        <v>422926</v>
      </c>
      <c r="E8" s="13">
        <v>434616</v>
      </c>
      <c r="F8" s="13">
        <v>455313</v>
      </c>
      <c r="G8" s="13">
        <v>465572</v>
      </c>
      <c r="H8" s="13">
        <v>470531</v>
      </c>
      <c r="I8" s="13">
        <v>493272</v>
      </c>
      <c r="J8" s="13">
        <v>541503</v>
      </c>
      <c r="K8" s="13">
        <v>617064</v>
      </c>
      <c r="L8" s="13">
        <v>645823</v>
      </c>
      <c r="M8" s="19">
        <f>Assumptions!B61*Assumptions!B13*Assumptions!B14*12/1000</f>
        <v>675171.43402239995</v>
      </c>
      <c r="N8" s="19">
        <f>Assumptions!C61*Assumptions!C13*Assumptions!C14*12/1000</f>
        <v>712684.80470127345</v>
      </c>
      <c r="O8" s="19">
        <f>Assumptions!D61*Assumptions!D13*Assumptions!D14*12/1000</f>
        <v>744133.57037205528</v>
      </c>
      <c r="P8" s="19">
        <f>Assumptions!E61*Assumptions!E13*Assumptions!E14*12/1000</f>
        <v>776923.00766424055</v>
      </c>
      <c r="Q8" s="19">
        <f>Assumptions!F61*Assumptions!F13*Assumptions!F14*12/1000</f>
        <v>811108.88733426097</v>
      </c>
    </row>
    <row r="14" spans="1:17" ht="15" customHeight="1" x14ac:dyDescent="0.2">
      <c r="A14" s="3" t="s">
        <v>263</v>
      </c>
    </row>
    <row r="15" spans="1:17" ht="15" customHeight="1" x14ac:dyDescent="0.2">
      <c r="A15" s="8" t="s">
        <v>264</v>
      </c>
      <c r="B15" s="13">
        <v>94172</v>
      </c>
      <c r="C15" s="13">
        <v>90847</v>
      </c>
      <c r="D15" s="13">
        <v>98765</v>
      </c>
      <c r="E15" s="13">
        <v>102600</v>
      </c>
      <c r="F15" s="13">
        <v>96700</v>
      </c>
      <c r="G15" s="13">
        <v>98100</v>
      </c>
      <c r="H15" s="13">
        <v>98500</v>
      </c>
      <c r="I15" s="13">
        <v>101700</v>
      </c>
      <c r="J15" s="13">
        <v>104300</v>
      </c>
      <c r="K15" s="13">
        <v>119500</v>
      </c>
      <c r="L15" s="13">
        <v>115000</v>
      </c>
      <c r="M15" s="19">
        <f>L15*(1+Assumptions!B17)</f>
        <v>117874.99999999999</v>
      </c>
      <c r="N15" s="19">
        <f>M15*(1+Assumptions!C17)</f>
        <v>121175.49999999999</v>
      </c>
      <c r="O15" s="19">
        <f>N15*(1+Assumptions!D17)</f>
        <v>124810.76499999998</v>
      </c>
      <c r="P15" s="19">
        <f>O15*(1+Assumptions!E17)</f>
        <v>128555.08794999999</v>
      </c>
      <c r="Q15" s="19">
        <f>P15*(1+Assumptions!F17)</f>
        <v>132411.74058849999</v>
      </c>
    </row>
    <row r="16" spans="1:17" ht="15" customHeight="1" x14ac:dyDescent="0.2">
      <c r="A16" s="8" t="s">
        <v>265</v>
      </c>
      <c r="B16" s="13">
        <v>46200</v>
      </c>
      <c r="C16" s="13">
        <v>44900</v>
      </c>
      <c r="D16" s="13">
        <v>52800</v>
      </c>
      <c r="E16" s="13">
        <v>54984</v>
      </c>
      <c r="F16" s="13">
        <v>49100</v>
      </c>
      <c r="G16" s="13">
        <v>50700</v>
      </c>
      <c r="H16" s="13">
        <v>49000</v>
      </c>
      <c r="I16" s="13">
        <v>53700</v>
      </c>
      <c r="J16" s="13">
        <v>54200</v>
      </c>
      <c r="K16" s="13">
        <v>60200</v>
      </c>
      <c r="L16" s="13">
        <v>55200</v>
      </c>
      <c r="M16" s="19">
        <f>L16*(1+Assumptions!B18)</f>
        <v>56579.999999999993</v>
      </c>
      <c r="N16" s="19">
        <f>M16*(1+Assumptions!C18)</f>
        <v>57994.499999999985</v>
      </c>
      <c r="O16" s="19">
        <f>N16*(1+Assumptions!D18)</f>
        <v>59734.334999999985</v>
      </c>
      <c r="P16" s="19">
        <f>O16*(1+Assumptions!E18)</f>
        <v>61526.365049999986</v>
      </c>
      <c r="Q16" s="19">
        <f>P16*(1+Assumptions!F18)</f>
        <v>63372.156001499985</v>
      </c>
    </row>
    <row r="17" spans="1:17" ht="15" customHeight="1" x14ac:dyDescent="0.2">
      <c r="A17" s="8" t="s">
        <v>266</v>
      </c>
      <c r="B17" s="13">
        <v>41074</v>
      </c>
      <c r="C17" s="13">
        <v>50000</v>
      </c>
      <c r="D17" s="13">
        <v>55278</v>
      </c>
      <c r="E17" s="13">
        <v>51000</v>
      </c>
      <c r="F17" s="13">
        <v>50720</v>
      </c>
      <c r="G17" s="13">
        <v>47628</v>
      </c>
      <c r="H17" s="13">
        <v>48691</v>
      </c>
      <c r="I17" s="13">
        <v>50552</v>
      </c>
      <c r="J17" s="13">
        <v>50014</v>
      </c>
      <c r="K17" s="13">
        <v>55030</v>
      </c>
      <c r="L17" s="13">
        <v>58062</v>
      </c>
      <c r="M17" s="19">
        <f>L17*(1+Assumptions!B19)</f>
        <v>60094.17</v>
      </c>
      <c r="N17" s="19">
        <f>M17*(1+Assumptions!C19)</f>
        <v>62197.465949999991</v>
      </c>
      <c r="O17" s="19">
        <f>N17*(1+Assumptions!D19)</f>
        <v>64374.377258249988</v>
      </c>
      <c r="P17" s="19">
        <f>O17*(1+Assumptions!E19)</f>
        <v>66627.480462288731</v>
      </c>
      <c r="Q17" s="19">
        <f>P17*(1+Assumptions!F19)</f>
        <v>68959.442278468836</v>
      </c>
    </row>
    <row r="18" spans="1:17" ht="15" customHeight="1" x14ac:dyDescent="0.2">
      <c r="A18" s="8" t="s">
        <v>267</v>
      </c>
      <c r="B18" s="14">
        <f t="shared" ref="B18:Q18" si="0">SUM(B15:B17)</f>
        <v>181446</v>
      </c>
      <c r="C18" s="14">
        <f t="shared" si="0"/>
        <v>185747</v>
      </c>
      <c r="D18" s="14">
        <f t="shared" si="0"/>
        <v>206843</v>
      </c>
      <c r="E18" s="14">
        <f t="shared" si="0"/>
        <v>208584</v>
      </c>
      <c r="F18" s="14">
        <f t="shared" si="0"/>
        <v>196520</v>
      </c>
      <c r="G18" s="14">
        <f t="shared" si="0"/>
        <v>196428</v>
      </c>
      <c r="H18" s="14">
        <f t="shared" si="0"/>
        <v>196191</v>
      </c>
      <c r="I18" s="14">
        <f t="shared" si="0"/>
        <v>205952</v>
      </c>
      <c r="J18" s="14">
        <f t="shared" si="0"/>
        <v>208514</v>
      </c>
      <c r="K18" s="14">
        <f t="shared" si="0"/>
        <v>234730</v>
      </c>
      <c r="L18" s="14">
        <f t="shared" si="0"/>
        <v>228262</v>
      </c>
      <c r="M18" s="14">
        <f t="shared" si="0"/>
        <v>234549.16999999998</v>
      </c>
      <c r="N18" s="14">
        <f t="shared" si="0"/>
        <v>241367.46594999995</v>
      </c>
      <c r="O18" s="14">
        <f t="shared" si="0"/>
        <v>248919.47725824997</v>
      </c>
      <c r="P18" s="14">
        <f t="shared" si="0"/>
        <v>256708.9334622887</v>
      </c>
      <c r="Q18" s="14">
        <f t="shared" si="0"/>
        <v>264743.33886846877</v>
      </c>
    </row>
    <row r="20" spans="1:17" ht="15" customHeight="1" x14ac:dyDescent="0.2">
      <c r="A20" s="3" t="s">
        <v>268</v>
      </c>
      <c r="B20" s="14">
        <f t="shared" ref="B20:L20" si="1">B8-B18</f>
        <v>294702</v>
      </c>
      <c r="C20" s="14">
        <f t="shared" si="1"/>
        <v>253099</v>
      </c>
      <c r="D20" s="14">
        <f t="shared" si="1"/>
        <v>216083</v>
      </c>
      <c r="E20" s="14">
        <f t="shared" si="1"/>
        <v>226032</v>
      </c>
      <c r="F20" s="14">
        <f t="shared" si="1"/>
        <v>258793</v>
      </c>
      <c r="G20" s="14">
        <f t="shared" si="1"/>
        <v>269144</v>
      </c>
      <c r="H20" s="14">
        <f t="shared" si="1"/>
        <v>274340</v>
      </c>
      <c r="I20" s="14">
        <f t="shared" si="1"/>
        <v>287320</v>
      </c>
      <c r="J20" s="14">
        <f t="shared" si="1"/>
        <v>332989</v>
      </c>
      <c r="K20" s="14">
        <f t="shared" si="1"/>
        <v>382334</v>
      </c>
      <c r="L20" s="14">
        <f t="shared" si="1"/>
        <v>417561</v>
      </c>
      <c r="M20" s="19">
        <f>L20*(1+Assumptions!B8-Assumptions!B20*(1-L20/L8))+Assumptions!B25+Assumptions!B26+Assumptions!B29+Assumptions!B30</f>
        <v>432769.87044810236</v>
      </c>
      <c r="N20" s="19">
        <f>M20*(1+Assumptions!C8-Assumptions!C20*(1-M20/M8))+Assumptions!C25+Assumptions!C26+Assumptions!C29+Assumptions!C30</f>
        <v>455126.51169927896</v>
      </c>
      <c r="O20" s="19">
        <f>N20*(1+Assumptions!D8-Assumptions!D20*(1-N20/N8))+Assumptions!D25+Assumptions!D26+Assumptions!D29+Assumptions!D30</f>
        <v>476362.87678193656</v>
      </c>
      <c r="P20" s="19">
        <f>O20*(1+Assumptions!E8-Assumptions!E20*(1-O20/O8))+Assumptions!E25+Assumptions!E26+Assumptions!E29+Assumptions!E30</f>
        <v>494896.63562157331</v>
      </c>
      <c r="Q20" s="19">
        <f>P20*(1+Assumptions!F8-Assumptions!F20*(1-P20/P8))+Assumptions!F25+Assumptions!F26+Assumptions!F29+Assumptions!F30</f>
        <v>510839.88222043857</v>
      </c>
    </row>
    <row r="22" spans="1:17" ht="15" customHeight="1" x14ac:dyDescent="0.2">
      <c r="A22" s="3" t="s">
        <v>269</v>
      </c>
    </row>
    <row r="23" spans="1:17" ht="15" customHeight="1" x14ac:dyDescent="0.2">
      <c r="A23" s="8" t="s">
        <v>270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</row>
    <row r="24" spans="1:17" ht="15" customHeight="1" x14ac:dyDescent="0.2">
      <c r="A24" s="8" t="s">
        <v>271</v>
      </c>
      <c r="B24" s="13">
        <v>-85370</v>
      </c>
      <c r="C24" s="13">
        <v>-79774</v>
      </c>
      <c r="D24" s="13">
        <v>-85763</v>
      </c>
      <c r="E24" s="13">
        <v>-80586</v>
      </c>
      <c r="F24" s="13">
        <v>-88198</v>
      </c>
      <c r="G24" s="13">
        <v>-91622</v>
      </c>
      <c r="H24" s="13">
        <v>-89749</v>
      </c>
      <c r="I24" s="13">
        <v>-96086</v>
      </c>
      <c r="J24" s="13">
        <v>-111172</v>
      </c>
      <c r="K24" s="13">
        <v>-121161</v>
      </c>
      <c r="L24" s="13">
        <v>-128367</v>
      </c>
      <c r="M24" s="19">
        <f>-Assumptions!B47</f>
        <v>-133432.14185393258</v>
      </c>
      <c r="N24" s="19">
        <f>-Assumptions!C47</f>
        <v>-134032.9521652986</v>
      </c>
      <c r="O24" s="19">
        <f>-Assumptions!D47</f>
        <v>-132096.25352112678</v>
      </c>
      <c r="P24" s="19">
        <f>-Assumptions!E47</f>
        <v>-128603.36210926088</v>
      </c>
      <c r="Q24" s="19">
        <f>-Assumptions!F47</f>
        <v>-124640.47310549776</v>
      </c>
    </row>
    <row r="25" spans="1:17" ht="15" customHeight="1" x14ac:dyDescent="0.2">
      <c r="A25" s="8" t="s">
        <v>272</v>
      </c>
      <c r="B25" s="13">
        <v>-9649</v>
      </c>
      <c r="C25" s="13">
        <v>-10079</v>
      </c>
      <c r="D25" s="13">
        <v>-5586</v>
      </c>
      <c r="E25" s="13">
        <v>-6754</v>
      </c>
      <c r="F25" s="13">
        <v>-8809</v>
      </c>
      <c r="G25" s="13">
        <v>-8195</v>
      </c>
      <c r="H25" s="13">
        <v>-7809</v>
      </c>
      <c r="I25" s="13">
        <v>-7782</v>
      </c>
      <c r="J25" s="13">
        <v>-7921</v>
      </c>
      <c r="K25" s="13">
        <v>-8318</v>
      </c>
      <c r="L25" s="13">
        <v>-8500</v>
      </c>
      <c r="M25" s="13">
        <v>-8500</v>
      </c>
      <c r="N25" s="13">
        <v>-8500</v>
      </c>
      <c r="O25" s="13">
        <v>-8500</v>
      </c>
      <c r="P25" s="13">
        <v>-8500</v>
      </c>
      <c r="Q25" s="13">
        <v>-8500</v>
      </c>
    </row>
    <row r="26" spans="1:17" ht="15" customHeight="1" x14ac:dyDescent="0.2">
      <c r="A26" s="8" t="s">
        <v>273</v>
      </c>
      <c r="B26" s="13">
        <v>-33407</v>
      </c>
      <c r="C26" s="13">
        <v>-33947</v>
      </c>
      <c r="D26" s="13">
        <v>-33402</v>
      </c>
      <c r="E26" s="13">
        <v>-37813</v>
      </c>
      <c r="F26" s="13">
        <v>-38645</v>
      </c>
      <c r="G26" s="13">
        <v>-36069</v>
      </c>
      <c r="H26" s="13">
        <v>-33282</v>
      </c>
      <c r="I26" s="13">
        <v>-33859</v>
      </c>
      <c r="J26" s="13">
        <v>-41172</v>
      </c>
      <c r="K26" s="13">
        <v>-44791</v>
      </c>
      <c r="L26" s="13">
        <v>-45700</v>
      </c>
      <c r="M26" s="19">
        <f>-Assumptions!B33*M8</f>
        <v>-53338.543287769593</v>
      </c>
      <c r="N26" s="19">
        <f>-Assumptions!C33*N8</f>
        <v>-56302.099571400606</v>
      </c>
      <c r="O26" s="19">
        <f>-Assumptions!D33*O8</f>
        <v>-58042.418489020311</v>
      </c>
      <c r="P26" s="19">
        <f>-Assumptions!E33*P8</f>
        <v>-60599.994597810764</v>
      </c>
      <c r="Q26" s="19">
        <f>-Assumptions!F33*Q8</f>
        <v>-63266.493212072353</v>
      </c>
    </row>
    <row r="28" spans="1:17" ht="15" customHeight="1" x14ac:dyDescent="0.2">
      <c r="A28" s="8" t="s">
        <v>274</v>
      </c>
      <c r="B28" s="13">
        <v>-194920</v>
      </c>
      <c r="C28" s="13">
        <v>-180843</v>
      </c>
      <c r="D28" s="13">
        <v>-32256</v>
      </c>
      <c r="E28" s="13">
        <v>92348</v>
      </c>
      <c r="F28" s="13">
        <v>-102692</v>
      </c>
      <c r="G28" s="13">
        <v>-326536</v>
      </c>
      <c r="H28" s="13">
        <v>607185</v>
      </c>
      <c r="I28" s="13">
        <v>103342</v>
      </c>
      <c r="J28" s="13">
        <v>306889</v>
      </c>
      <c r="K28" s="13">
        <v>359888</v>
      </c>
      <c r="L28" s="13">
        <v>-24948</v>
      </c>
      <c r="M28" s="19">
        <f>Assumptions!B87</f>
        <v>1257845.3299015705</v>
      </c>
      <c r="N28" s="19">
        <f>Assumptions!C87</f>
        <v>188137.29160371781</v>
      </c>
      <c r="O28" s="19">
        <f>Assumptions!D87</f>
        <v>770430.89809330273</v>
      </c>
      <c r="P28" s="19">
        <f>Assumptions!E87</f>
        <v>176712.29865859478</v>
      </c>
      <c r="Q28" s="19">
        <f>Assumptions!F87</f>
        <v>117718.60886367213</v>
      </c>
    </row>
    <row r="29" spans="1:17" ht="15" customHeight="1" x14ac:dyDescent="0.2">
      <c r="A29" s="8" t="s">
        <v>275</v>
      </c>
      <c r="B29" s="13">
        <v>63053</v>
      </c>
      <c r="C29" s="13">
        <v>-35519</v>
      </c>
      <c r="D29" s="13">
        <v>-20600</v>
      </c>
      <c r="E29" s="13">
        <v>-20250</v>
      </c>
      <c r="F29" s="13">
        <v>30485</v>
      </c>
      <c r="G29" s="13">
        <v>56290</v>
      </c>
      <c r="H29" s="13">
        <v>-209520</v>
      </c>
      <c r="I29" s="13">
        <v>-33835</v>
      </c>
      <c r="J29" s="13">
        <v>-67700</v>
      </c>
      <c r="K29" s="13">
        <v>-46200</v>
      </c>
      <c r="L29" s="13">
        <v>8900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</row>
    <row r="30" spans="1:17" ht="15" customHeight="1" x14ac:dyDescent="0.2">
      <c r="A30" s="8" t="s">
        <v>276</v>
      </c>
      <c r="B30" s="13">
        <v>1506</v>
      </c>
      <c r="C30" s="13">
        <v>-5838</v>
      </c>
      <c r="D30" s="13">
        <v>4422</v>
      </c>
      <c r="E30" s="13">
        <v>2455</v>
      </c>
      <c r="F30" s="13">
        <v>-2234</v>
      </c>
      <c r="G30" s="13">
        <v>-2785</v>
      </c>
      <c r="H30" s="13">
        <v>5480</v>
      </c>
      <c r="I30" s="13">
        <v>-1070</v>
      </c>
      <c r="J30" s="13">
        <v>-4100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</row>
    <row r="31" spans="1:17" ht="15" customHeight="1" x14ac:dyDescent="0.2">
      <c r="A31" s="8" t="s">
        <v>277</v>
      </c>
      <c r="B31" s="13">
        <v>-6855</v>
      </c>
      <c r="C31" s="13">
        <v>0</v>
      </c>
      <c r="D31" s="13">
        <v>-1678</v>
      </c>
      <c r="E31" s="13">
        <v>-27</v>
      </c>
      <c r="F31" s="13">
        <v>-714</v>
      </c>
      <c r="G31" s="13">
        <v>-1136</v>
      </c>
      <c r="H31" s="13">
        <v>-1953</v>
      </c>
      <c r="I31" s="13">
        <v>0</v>
      </c>
      <c r="J31" s="13">
        <v>0</v>
      </c>
      <c r="K31" s="13">
        <v>-2410</v>
      </c>
      <c r="L31" s="13">
        <v>-1500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</row>
    <row r="33" spans="1:17" ht="15" customHeight="1" x14ac:dyDescent="0.2">
      <c r="A33" s="8" t="s">
        <v>278</v>
      </c>
      <c r="B33" s="14">
        <f t="shared" ref="B33:Q33" si="2">B20+B23+B24+B25+B26+B28+B29+B30+B31</f>
        <v>29060</v>
      </c>
      <c r="C33" s="14">
        <f t="shared" si="2"/>
        <v>-92901</v>
      </c>
      <c r="D33" s="14">
        <f t="shared" si="2"/>
        <v>41220</v>
      </c>
      <c r="E33" s="14">
        <f t="shared" si="2"/>
        <v>175405</v>
      </c>
      <c r="F33" s="14">
        <f t="shared" si="2"/>
        <v>47986</v>
      </c>
      <c r="G33" s="14">
        <f t="shared" si="2"/>
        <v>-140909</v>
      </c>
      <c r="H33" s="14">
        <f t="shared" si="2"/>
        <v>544692</v>
      </c>
      <c r="I33" s="14">
        <f t="shared" si="2"/>
        <v>218030</v>
      </c>
      <c r="J33" s="14">
        <f t="shared" si="2"/>
        <v>407813</v>
      </c>
      <c r="K33" s="14">
        <f t="shared" si="2"/>
        <v>519342</v>
      </c>
      <c r="L33" s="14">
        <f t="shared" si="2"/>
        <v>217446</v>
      </c>
      <c r="M33" s="14">
        <f t="shared" si="2"/>
        <v>1495344.5152079705</v>
      </c>
      <c r="N33" s="14">
        <f t="shared" si="2"/>
        <v>444428.75156629749</v>
      </c>
      <c r="O33" s="14">
        <f t="shared" si="2"/>
        <v>1048155.1028650922</v>
      </c>
      <c r="P33" s="14">
        <f t="shared" si="2"/>
        <v>473905.57757309644</v>
      </c>
      <c r="Q33" s="14">
        <f t="shared" si="2"/>
        <v>432151.52476654056</v>
      </c>
    </row>
    <row r="34" spans="1:17" ht="15" customHeight="1" x14ac:dyDescent="0.2">
      <c r="A34" s="8" t="s">
        <v>279</v>
      </c>
      <c r="B34" s="13">
        <v>-212</v>
      </c>
      <c r="C34" s="13">
        <v>-58</v>
      </c>
      <c r="D34" s="13">
        <v>-140</v>
      </c>
      <c r="E34" s="13">
        <v>-32</v>
      </c>
      <c r="F34" s="13">
        <v>754</v>
      </c>
      <c r="G34" s="13">
        <v>72</v>
      </c>
      <c r="H34" s="13">
        <v>110</v>
      </c>
      <c r="I34" s="13">
        <v>-34</v>
      </c>
      <c r="J34" s="13">
        <v>19</v>
      </c>
      <c r="K34" s="13">
        <v>-70</v>
      </c>
      <c r="L34" s="13">
        <v>-50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</row>
    <row r="36" spans="1:17" ht="15" customHeight="1" x14ac:dyDescent="0.2">
      <c r="A36" s="3" t="s">
        <v>280</v>
      </c>
      <c r="B36" s="14">
        <f t="shared" ref="B36:Q36" si="3">B33+B34</f>
        <v>28848</v>
      </c>
      <c r="C36" s="14">
        <f t="shared" si="3"/>
        <v>-92959</v>
      </c>
      <c r="D36" s="14">
        <f t="shared" si="3"/>
        <v>41080</v>
      </c>
      <c r="E36" s="14">
        <f t="shared" si="3"/>
        <v>175373</v>
      </c>
      <c r="F36" s="14">
        <f t="shared" si="3"/>
        <v>48740</v>
      </c>
      <c r="G36" s="14">
        <f t="shared" si="3"/>
        <v>-140837</v>
      </c>
      <c r="H36" s="14">
        <f t="shared" si="3"/>
        <v>544802</v>
      </c>
      <c r="I36" s="14">
        <f t="shared" si="3"/>
        <v>217996</v>
      </c>
      <c r="J36" s="14">
        <f t="shared" si="3"/>
        <v>407832</v>
      </c>
      <c r="K36" s="14">
        <f t="shared" si="3"/>
        <v>519272</v>
      </c>
      <c r="L36" s="14">
        <f t="shared" si="3"/>
        <v>217396</v>
      </c>
      <c r="M36" s="14">
        <f t="shared" si="3"/>
        <v>1495344.5152079705</v>
      </c>
      <c r="N36" s="14">
        <f t="shared" si="3"/>
        <v>444428.75156629749</v>
      </c>
      <c r="O36" s="14">
        <f t="shared" si="3"/>
        <v>1048155.1028650922</v>
      </c>
      <c r="P36" s="14">
        <f t="shared" si="3"/>
        <v>473905.57757309644</v>
      </c>
      <c r="Q36" s="14">
        <f t="shared" si="3"/>
        <v>432151.52476654056</v>
      </c>
    </row>
    <row r="38" spans="1:17" ht="15" customHeight="1" x14ac:dyDescent="0.2">
      <c r="A38" s="3" t="s">
        <v>281</v>
      </c>
    </row>
    <row r="39" spans="1:17" ht="15" customHeight="1" x14ac:dyDescent="0.2">
      <c r="A39" s="8" t="s">
        <v>282</v>
      </c>
      <c r="B39" s="9">
        <f t="shared" ref="B39:Q39" si="4">IF(B8&lt;&gt;0,B20/B8,0)</f>
        <v>0.61892940850323852</v>
      </c>
      <c r="C39" s="9">
        <f t="shared" si="4"/>
        <v>0.57673762549960583</v>
      </c>
      <c r="D39" s="9">
        <f t="shared" si="4"/>
        <v>0.51092389685193151</v>
      </c>
      <c r="E39" s="9">
        <f t="shared" si="4"/>
        <v>0.52007289193218842</v>
      </c>
      <c r="F39" s="9">
        <f t="shared" si="4"/>
        <v>0.56838482538385682</v>
      </c>
      <c r="G39" s="9">
        <f t="shared" si="4"/>
        <v>0.57809318429802481</v>
      </c>
      <c r="H39" s="9">
        <f t="shared" si="4"/>
        <v>0.58304341265506421</v>
      </c>
      <c r="I39" s="9">
        <f t="shared" si="4"/>
        <v>0.58247782156700567</v>
      </c>
      <c r="J39" s="9">
        <f t="shared" si="4"/>
        <v>0.61493472797011284</v>
      </c>
      <c r="K39" s="9">
        <f t="shared" si="4"/>
        <v>0.61960185653352007</v>
      </c>
      <c r="L39" s="9">
        <f t="shared" si="4"/>
        <v>0.64655640941867976</v>
      </c>
      <c r="M39" s="9">
        <f t="shared" si="4"/>
        <v>0.64097775563434822</v>
      </c>
      <c r="N39" s="9">
        <f t="shared" si="4"/>
        <v>0.63860841243843869</v>
      </c>
      <c r="O39" s="9">
        <f t="shared" si="4"/>
        <v>0.64015775627991423</v>
      </c>
      <c r="P39" s="9">
        <f t="shared" si="4"/>
        <v>0.63699572639693358</v>
      </c>
      <c r="Q39" s="9">
        <f t="shared" si="4"/>
        <v>0.62980432121676355</v>
      </c>
    </row>
    <row r="40" spans="1:17" ht="15" customHeight="1" x14ac:dyDescent="0.2">
      <c r="A40" s="8" t="s">
        <v>283</v>
      </c>
      <c r="C40" s="9">
        <f t="shared" ref="C40:Q40" si="5">IF(B8&lt;&gt;0,C8/B8-1,0)</f>
        <v>-7.8341188033972609E-2</v>
      </c>
      <c r="D40" s="9">
        <f t="shared" si="5"/>
        <v>-3.6276962761424336E-2</v>
      </c>
      <c r="E40" s="9">
        <f t="shared" si="5"/>
        <v>2.7640769307160085E-2</v>
      </c>
      <c r="F40" s="9">
        <f t="shared" si="5"/>
        <v>4.7621348500745508E-2</v>
      </c>
      <c r="G40" s="9">
        <f t="shared" si="5"/>
        <v>2.2531752882083422E-2</v>
      </c>
      <c r="H40" s="9">
        <f t="shared" si="5"/>
        <v>1.0651413744812821E-2</v>
      </c>
      <c r="I40" s="9">
        <f t="shared" si="5"/>
        <v>4.8330503197451469E-2</v>
      </c>
      <c r="J40" s="9">
        <f t="shared" si="5"/>
        <v>9.7777696686615068E-2</v>
      </c>
      <c r="K40" s="9">
        <f t="shared" si="5"/>
        <v>0.13953939313355601</v>
      </c>
      <c r="L40" s="9">
        <f t="shared" si="5"/>
        <v>4.6606186716450893E-2</v>
      </c>
      <c r="M40" s="9">
        <f t="shared" si="5"/>
        <v>4.5443463646231086E-2</v>
      </c>
      <c r="N40" s="9">
        <f t="shared" si="5"/>
        <v>5.5561252725672805E-2</v>
      </c>
      <c r="O40" s="9">
        <f t="shared" si="5"/>
        <v>4.4127172998958297E-2</v>
      </c>
      <c r="P40" s="9">
        <f t="shared" si="5"/>
        <v>4.4063913519976072E-2</v>
      </c>
      <c r="Q40" s="9">
        <f t="shared" si="5"/>
        <v>4.4001631220573101E-2</v>
      </c>
    </row>
    <row r="41" spans="1:17" ht="15" customHeight="1" x14ac:dyDescent="0.2">
      <c r="A41" s="8" t="s">
        <v>284</v>
      </c>
      <c r="C41" s="9">
        <f t="shared" ref="C41:Q41" si="6">IF(B20&lt;&gt;0,C20/B20-1,0)</f>
        <v>-0.14116972399237193</v>
      </c>
      <c r="D41" s="9">
        <f t="shared" si="6"/>
        <v>-0.14625107171502061</v>
      </c>
      <c r="E41" s="9">
        <f t="shared" si="6"/>
        <v>4.604249293095708E-2</v>
      </c>
      <c r="F41" s="9">
        <f t="shared" si="6"/>
        <v>0.14493965456218594</v>
      </c>
      <c r="G41" s="9">
        <f t="shared" si="6"/>
        <v>3.9997217853651401E-2</v>
      </c>
      <c r="H41" s="9">
        <f t="shared" si="6"/>
        <v>1.9305650506791894E-2</v>
      </c>
      <c r="I41" s="9">
        <f t="shared" si="6"/>
        <v>4.7313552526062619E-2</v>
      </c>
      <c r="J41" s="9">
        <f t="shared" si="6"/>
        <v>0.15894821105387713</v>
      </c>
      <c r="K41" s="9">
        <f t="shared" si="6"/>
        <v>0.14818807828486835</v>
      </c>
      <c r="L41" s="9">
        <f t="shared" si="6"/>
        <v>9.2136718157422637E-2</v>
      </c>
      <c r="M41" s="9">
        <f t="shared" si="6"/>
        <v>3.6423110511044854E-2</v>
      </c>
      <c r="N41" s="9">
        <f t="shared" si="6"/>
        <v>5.1659421733837085E-2</v>
      </c>
      <c r="O41" s="9">
        <f t="shared" si="6"/>
        <v>4.6660356047747431E-2</v>
      </c>
      <c r="P41" s="9">
        <f t="shared" si="6"/>
        <v>3.8906807694254697E-2</v>
      </c>
      <c r="Q41" s="9">
        <f t="shared" si="6"/>
        <v>3.2215306088797968E-2</v>
      </c>
    </row>
    <row r="42" spans="1:17" ht="15" customHeight="1" x14ac:dyDescent="0.2">
      <c r="A42" s="8" t="s">
        <v>285</v>
      </c>
      <c r="B42" s="9">
        <f t="shared" ref="B42:Q42" si="7">IF(B8&lt;&gt;0,-B26/B8,0)</f>
        <v>7.0160958357485481E-2</v>
      </c>
      <c r="C42" s="9">
        <f t="shared" si="7"/>
        <v>7.7355154199878776E-2</v>
      </c>
      <c r="D42" s="9">
        <f t="shared" si="7"/>
        <v>7.8978355551562213E-2</v>
      </c>
      <c r="E42" s="9">
        <f t="shared" si="7"/>
        <v>8.7003239641430599E-2</v>
      </c>
      <c r="F42" s="9">
        <f t="shared" si="7"/>
        <v>8.4875678928561238E-2</v>
      </c>
      <c r="G42" s="9">
        <f t="shared" si="7"/>
        <v>7.7472442500837679E-2</v>
      </c>
      <c r="H42" s="9">
        <f t="shared" si="7"/>
        <v>7.0732852883231917E-2</v>
      </c>
      <c r="I42" s="9">
        <f t="shared" si="7"/>
        <v>6.8641641933862046E-2</v>
      </c>
      <c r="J42" s="9">
        <f t="shared" si="7"/>
        <v>7.6032819762771403E-2</v>
      </c>
      <c r="K42" s="9">
        <f t="shared" si="7"/>
        <v>7.2587284301142183E-2</v>
      </c>
      <c r="L42" s="9">
        <f t="shared" si="7"/>
        <v>7.076242252134099E-2</v>
      </c>
      <c r="M42" s="9">
        <f t="shared" si="7"/>
        <v>7.9000000000000001E-2</v>
      </c>
      <c r="N42" s="9">
        <f t="shared" si="7"/>
        <v>7.9000000000000001E-2</v>
      </c>
      <c r="O42" s="9">
        <f t="shared" si="7"/>
        <v>7.8E-2</v>
      </c>
      <c r="P42" s="9">
        <f t="shared" si="7"/>
        <v>7.8E-2</v>
      </c>
      <c r="Q42" s="9">
        <f t="shared" si="7"/>
        <v>7.8E-2</v>
      </c>
    </row>
    <row r="43" spans="1:17" ht="15" customHeight="1" x14ac:dyDescent="0.2">
      <c r="A43" s="8" t="s">
        <v>115</v>
      </c>
      <c r="B43" s="13">
        <v>51913</v>
      </c>
      <c r="C43" s="13">
        <v>50658</v>
      </c>
      <c r="D43" s="13">
        <v>50813</v>
      </c>
      <c r="E43" s="13">
        <v>50809</v>
      </c>
      <c r="F43" s="13">
        <v>50936</v>
      </c>
      <c r="G43" s="13">
        <v>51010</v>
      </c>
      <c r="H43" s="13">
        <v>51007</v>
      </c>
      <c r="I43" s="13">
        <v>50303</v>
      </c>
      <c r="J43" s="13">
        <v>50376</v>
      </c>
      <c r="K43" s="13">
        <v>50089</v>
      </c>
      <c r="L43" s="13">
        <v>53176</v>
      </c>
      <c r="M43" s="19">
        <f>Assumptions!B83</f>
        <v>53300</v>
      </c>
      <c r="N43" s="19">
        <f>Assumptions!C83</f>
        <v>53300</v>
      </c>
      <c r="O43" s="19">
        <f>Assumptions!D83</f>
        <v>53300</v>
      </c>
      <c r="P43" s="19">
        <f>Assumptions!E83</f>
        <v>53300</v>
      </c>
      <c r="Q43" s="19">
        <f>Assumptions!F83</f>
        <v>53300</v>
      </c>
    </row>
    <row r="44" spans="1:17" ht="15" customHeight="1" x14ac:dyDescent="0.2">
      <c r="A44" s="8" t="s">
        <v>286</v>
      </c>
      <c r="L44" s="9">
        <f>(L8/H8)^(1/4)-1</f>
        <v>8.2383882297731192E-2</v>
      </c>
    </row>
    <row r="45" spans="1:17" ht="15" customHeight="1" x14ac:dyDescent="0.2">
      <c r="A45" s="8" t="s">
        <v>287</v>
      </c>
      <c r="L45" s="9">
        <f>(L20/H20)^(1/4)-1</f>
        <v>0.1107279454493233</v>
      </c>
    </row>
    <row r="46" spans="1:17" ht="15" customHeight="1" x14ac:dyDescent="0.2">
      <c r="A46" s="8" t="s">
        <v>288</v>
      </c>
      <c r="B46" s="9">
        <f>L43/B43-1</f>
        <v>2.432916610482927E-2</v>
      </c>
    </row>
    <row r="47" spans="1:17" ht="15" customHeight="1" x14ac:dyDescent="0.2">
      <c r="A47" s="8" t="s">
        <v>289</v>
      </c>
      <c r="B47" s="9">
        <f>L20/B20-1</f>
        <v>0.4168923183419182</v>
      </c>
    </row>
    <row r="48" spans="1:17" ht="15" customHeight="1" x14ac:dyDescent="0.2">
      <c r="A48" s="8" t="s">
        <v>290</v>
      </c>
      <c r="B48" s="11">
        <f>B20/B43</f>
        <v>5.6768439504555701</v>
      </c>
    </row>
    <row r="49" spans="1:13" ht="15" customHeight="1" x14ac:dyDescent="0.2">
      <c r="A49" s="8" t="s">
        <v>291</v>
      </c>
      <c r="L49" s="11">
        <f>L20/L43</f>
        <v>7.8524334286144128</v>
      </c>
    </row>
    <row r="50" spans="1:13" ht="15" customHeight="1" x14ac:dyDescent="0.2">
      <c r="A50" s="8" t="s">
        <v>292</v>
      </c>
      <c r="B50" s="9">
        <f>IF(B48&lt;&gt;0,L49/B48-1,0)</f>
        <v>0.38323926060786828</v>
      </c>
    </row>
    <row r="51" spans="1:13" ht="15" customHeight="1" x14ac:dyDescent="0.2">
      <c r="A51" s="8" t="s">
        <v>293</v>
      </c>
      <c r="M51" s="9">
        <f>(Q20/L20)^(1/5)-1</f>
        <v>4.114920879022721E-2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294</v>
      </c>
    </row>
    <row r="3" spans="1:17" ht="15" customHeight="1" x14ac:dyDescent="0.2">
      <c r="A3" s="4" t="s">
        <v>295</v>
      </c>
    </row>
    <row r="5" spans="1:17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7" ht="15" customHeight="1" x14ac:dyDescent="0.2">
      <c r="A7" s="3" t="s">
        <v>296</v>
      </c>
    </row>
    <row r="8" spans="1:17" ht="15" customHeight="1" x14ac:dyDescent="0.2">
      <c r="A8" s="8" t="s">
        <v>297</v>
      </c>
      <c r="B8" s="13">
        <v>5540299</v>
      </c>
      <c r="C8" s="13">
        <v>5612568</v>
      </c>
      <c r="D8" s="13">
        <v>5588000</v>
      </c>
      <c r="E8" s="13">
        <v>5810000</v>
      </c>
      <c r="F8" s="13">
        <v>5948400</v>
      </c>
      <c r="G8" s="13">
        <v>5948955</v>
      </c>
      <c r="H8" s="13">
        <v>6360000</v>
      </c>
      <c r="I8" s="13">
        <v>6672000</v>
      </c>
      <c r="J8" s="13">
        <v>7075000</v>
      </c>
      <c r="K8" s="13">
        <v>7540000</v>
      </c>
      <c r="L8" s="13">
        <v>7618000</v>
      </c>
      <c r="M8" s="19">
        <f>IS!M20/Assumptions!B85</f>
        <v>9110944.6410126816</v>
      </c>
      <c r="N8" s="19">
        <f>IS!N20/Assumptions!C85</f>
        <v>9581610.7726163995</v>
      </c>
      <c r="O8" s="19">
        <f>IS!O20/Assumptions!D85</f>
        <v>10585841.706265258</v>
      </c>
      <c r="P8" s="19">
        <f>IS!P20/Assumptions!E85</f>
        <v>10997703.013812741</v>
      </c>
      <c r="Q8" s="19">
        <f>IS!Q20/Assumptions!F85</f>
        <v>11351997.382676413</v>
      </c>
    </row>
    <row r="9" spans="1:17" ht="15" customHeight="1" x14ac:dyDescent="0.2">
      <c r="A9" s="8" t="s">
        <v>298</v>
      </c>
      <c r="B9" s="13">
        <v>29320</v>
      </c>
      <c r="C9" s="13">
        <v>24147</v>
      </c>
      <c r="D9" s="13">
        <v>30221</v>
      </c>
      <c r="E9" s="13">
        <v>31463</v>
      </c>
      <c r="F9" s="13">
        <v>36289</v>
      </c>
      <c r="G9" s="13">
        <v>32189</v>
      </c>
      <c r="H9" s="13">
        <v>29877</v>
      </c>
      <c r="I9" s="13">
        <v>31352</v>
      </c>
      <c r="J9" s="13">
        <v>33000</v>
      </c>
      <c r="K9" s="13">
        <v>35000</v>
      </c>
      <c r="L9" s="13">
        <v>36000</v>
      </c>
      <c r="M9" s="13">
        <v>36000</v>
      </c>
      <c r="N9" s="13">
        <v>36000</v>
      </c>
      <c r="O9" s="13">
        <v>36000</v>
      </c>
      <c r="P9" s="13">
        <v>36000</v>
      </c>
      <c r="Q9" s="13">
        <v>36000</v>
      </c>
    </row>
    <row r="10" spans="1:17" ht="15" customHeight="1" x14ac:dyDescent="0.2">
      <c r="A10" s="8" t="s">
        <v>299</v>
      </c>
      <c r="B10" s="13">
        <v>191</v>
      </c>
      <c r="C10" s="13">
        <v>164</v>
      </c>
      <c r="D10" s="13">
        <v>74</v>
      </c>
      <c r="E10" s="13">
        <v>64</v>
      </c>
      <c r="F10" s="13">
        <v>751</v>
      </c>
      <c r="G10" s="13">
        <v>825</v>
      </c>
      <c r="H10" s="13">
        <v>933</v>
      </c>
      <c r="I10" s="13">
        <v>859</v>
      </c>
      <c r="J10" s="13">
        <v>900</v>
      </c>
      <c r="K10" s="13">
        <v>1000</v>
      </c>
      <c r="L10" s="13">
        <v>1000</v>
      </c>
      <c r="M10" s="13">
        <v>1000</v>
      </c>
      <c r="N10" s="13">
        <v>1000</v>
      </c>
      <c r="O10" s="13">
        <v>1000</v>
      </c>
      <c r="P10" s="13">
        <v>1000</v>
      </c>
      <c r="Q10" s="13">
        <v>1000</v>
      </c>
    </row>
    <row r="11" spans="1:17" ht="15" customHeight="1" x14ac:dyDescent="0.2">
      <c r="A11" s="8" t="s">
        <v>300</v>
      </c>
      <c r="B11" s="14">
        <f t="shared" ref="B11:Q11" si="0">SUM(B8:B10)</f>
        <v>5569810</v>
      </c>
      <c r="C11" s="14">
        <f t="shared" si="0"/>
        <v>5636879</v>
      </c>
      <c r="D11" s="14">
        <f t="shared" si="0"/>
        <v>5618295</v>
      </c>
      <c r="E11" s="14">
        <f t="shared" si="0"/>
        <v>5841527</v>
      </c>
      <c r="F11" s="14">
        <f t="shared" si="0"/>
        <v>5985440</v>
      </c>
      <c r="G11" s="14">
        <f t="shared" si="0"/>
        <v>5981969</v>
      </c>
      <c r="H11" s="14">
        <f t="shared" si="0"/>
        <v>6390810</v>
      </c>
      <c r="I11" s="14">
        <f t="shared" si="0"/>
        <v>6704211</v>
      </c>
      <c r="J11" s="14">
        <f t="shared" si="0"/>
        <v>7108900</v>
      </c>
      <c r="K11" s="14">
        <f t="shared" si="0"/>
        <v>7576000</v>
      </c>
      <c r="L11" s="14">
        <f t="shared" si="0"/>
        <v>7655000</v>
      </c>
      <c r="M11" s="14">
        <f t="shared" si="0"/>
        <v>9147944.6410126816</v>
      </c>
      <c r="N11" s="14">
        <f t="shared" si="0"/>
        <v>9618610.7726163995</v>
      </c>
      <c r="O11" s="14">
        <f t="shared" si="0"/>
        <v>10622841.706265258</v>
      </c>
      <c r="P11" s="14">
        <f t="shared" si="0"/>
        <v>11034703.013812741</v>
      </c>
      <c r="Q11" s="14">
        <f t="shared" si="0"/>
        <v>11388997.382676413</v>
      </c>
    </row>
    <row r="13" spans="1:17" ht="15" customHeight="1" x14ac:dyDescent="0.2">
      <c r="A13" s="3" t="s">
        <v>301</v>
      </c>
    </row>
    <row r="14" spans="1:17" ht="15" customHeight="1" x14ac:dyDescent="0.2">
      <c r="A14" s="8" t="s">
        <v>302</v>
      </c>
      <c r="B14" s="13">
        <v>237016</v>
      </c>
      <c r="C14" s="13">
        <v>99102</v>
      </c>
      <c r="D14" s="13">
        <v>70834</v>
      </c>
      <c r="E14" s="13">
        <v>38086</v>
      </c>
      <c r="F14" s="13">
        <v>35166</v>
      </c>
      <c r="G14" s="13">
        <v>52960</v>
      </c>
      <c r="H14" s="13">
        <v>64300</v>
      </c>
      <c r="I14" s="13">
        <v>52816</v>
      </c>
      <c r="J14" s="13">
        <v>55000</v>
      </c>
      <c r="K14" s="13">
        <v>58000</v>
      </c>
      <c r="L14" s="13">
        <v>45000</v>
      </c>
      <c r="M14" s="19">
        <f>Assumptions!B88</f>
        <v>45000</v>
      </c>
      <c r="N14" s="19">
        <f>Assumptions!C88</f>
        <v>45000</v>
      </c>
      <c r="O14" s="19">
        <f>Assumptions!D88</f>
        <v>45000</v>
      </c>
      <c r="P14" s="19">
        <f>Assumptions!E88</f>
        <v>45000</v>
      </c>
      <c r="Q14" s="19">
        <f>Assumptions!F88</f>
        <v>45000</v>
      </c>
    </row>
    <row r="15" spans="1:17" ht="15" customHeight="1" x14ac:dyDescent="0.2">
      <c r="A15" s="8" t="s">
        <v>303</v>
      </c>
      <c r="B15" s="13">
        <v>5230</v>
      </c>
      <c r="C15" s="13">
        <v>5502</v>
      </c>
      <c r="D15" s="13">
        <v>5218</v>
      </c>
      <c r="E15" s="13">
        <v>8213</v>
      </c>
      <c r="F15" s="13">
        <v>4370</v>
      </c>
      <c r="G15" s="13">
        <v>11174</v>
      </c>
      <c r="H15" s="13">
        <v>6155</v>
      </c>
      <c r="I15" s="13">
        <v>4641</v>
      </c>
      <c r="J15" s="13">
        <v>5000</v>
      </c>
      <c r="K15" s="13">
        <v>5500</v>
      </c>
      <c r="L15" s="13">
        <v>6000</v>
      </c>
      <c r="M15" s="13">
        <v>6000</v>
      </c>
      <c r="N15" s="13">
        <v>6000</v>
      </c>
      <c r="O15" s="13">
        <v>6000</v>
      </c>
      <c r="P15" s="13">
        <v>6000</v>
      </c>
      <c r="Q15" s="13">
        <v>6000</v>
      </c>
    </row>
    <row r="17" spans="1:17" ht="15" customHeight="1" x14ac:dyDescent="0.2">
      <c r="A17" s="8" t="s">
        <v>304</v>
      </c>
      <c r="B17" s="13">
        <v>21786</v>
      </c>
      <c r="C17" s="13">
        <v>20000</v>
      </c>
      <c r="D17" s="13">
        <v>18000</v>
      </c>
      <c r="E17" s="13">
        <v>19157</v>
      </c>
      <c r="F17" s="13">
        <v>18000</v>
      </c>
      <c r="G17" s="13">
        <v>17000</v>
      </c>
      <c r="H17" s="13">
        <v>16000</v>
      </c>
      <c r="I17" s="13">
        <v>15000</v>
      </c>
      <c r="J17" s="13">
        <v>14000</v>
      </c>
      <c r="K17" s="13">
        <v>15000</v>
      </c>
      <c r="L17" s="13">
        <v>14000</v>
      </c>
      <c r="M17" s="13">
        <v>14000</v>
      </c>
      <c r="N17" s="13">
        <v>14000</v>
      </c>
      <c r="O17" s="13">
        <v>14000</v>
      </c>
      <c r="P17" s="13">
        <v>14000</v>
      </c>
      <c r="Q17" s="13">
        <v>14000</v>
      </c>
    </row>
    <row r="18" spans="1:17" ht="15" customHeight="1" x14ac:dyDescent="0.2">
      <c r="A18" s="8" t="s">
        <v>305</v>
      </c>
      <c r="B18" s="14">
        <f t="shared" ref="B18:Q18" si="1">B14+B15+B17</f>
        <v>264032</v>
      </c>
      <c r="C18" s="14">
        <f t="shared" si="1"/>
        <v>124604</v>
      </c>
      <c r="D18" s="14">
        <f t="shared" si="1"/>
        <v>94052</v>
      </c>
      <c r="E18" s="14">
        <f t="shared" si="1"/>
        <v>65456</v>
      </c>
      <c r="F18" s="14">
        <f t="shared" si="1"/>
        <v>57536</v>
      </c>
      <c r="G18" s="14">
        <f t="shared" si="1"/>
        <v>81134</v>
      </c>
      <c r="H18" s="14">
        <f t="shared" si="1"/>
        <v>86455</v>
      </c>
      <c r="I18" s="14">
        <f t="shared" si="1"/>
        <v>72457</v>
      </c>
      <c r="J18" s="14">
        <f t="shared" si="1"/>
        <v>74000</v>
      </c>
      <c r="K18" s="14">
        <f t="shared" si="1"/>
        <v>78500</v>
      </c>
      <c r="L18" s="14">
        <f t="shared" si="1"/>
        <v>65000</v>
      </c>
      <c r="M18" s="14">
        <f t="shared" si="1"/>
        <v>65000</v>
      </c>
      <c r="N18" s="14">
        <f t="shared" si="1"/>
        <v>65000</v>
      </c>
      <c r="O18" s="14">
        <f t="shared" si="1"/>
        <v>65000</v>
      </c>
      <c r="P18" s="14">
        <f t="shared" si="1"/>
        <v>65000</v>
      </c>
      <c r="Q18" s="14">
        <f t="shared" si="1"/>
        <v>65000</v>
      </c>
    </row>
    <row r="20" spans="1:17" ht="15" customHeight="1" x14ac:dyDescent="0.2">
      <c r="A20" s="3" t="s">
        <v>306</v>
      </c>
      <c r="B20" s="14">
        <f t="shared" ref="B20:Q20" si="2">B11+B18</f>
        <v>5833842</v>
      </c>
      <c r="C20" s="14">
        <f t="shared" si="2"/>
        <v>5761483</v>
      </c>
      <c r="D20" s="14">
        <f t="shared" si="2"/>
        <v>5712347</v>
      </c>
      <c r="E20" s="14">
        <f t="shared" si="2"/>
        <v>5906983</v>
      </c>
      <c r="F20" s="14">
        <f t="shared" si="2"/>
        <v>6042976</v>
      </c>
      <c r="G20" s="14">
        <f t="shared" si="2"/>
        <v>6063103</v>
      </c>
      <c r="H20" s="14">
        <f t="shared" si="2"/>
        <v>6477265</v>
      </c>
      <c r="I20" s="14">
        <f t="shared" si="2"/>
        <v>6776668</v>
      </c>
      <c r="J20" s="14">
        <f t="shared" si="2"/>
        <v>7182900</v>
      </c>
      <c r="K20" s="14">
        <f t="shared" si="2"/>
        <v>7654500</v>
      </c>
      <c r="L20" s="14">
        <f t="shared" si="2"/>
        <v>7720000</v>
      </c>
      <c r="M20" s="14">
        <f t="shared" si="2"/>
        <v>9212944.6410126816</v>
      </c>
      <c r="N20" s="14">
        <f t="shared" si="2"/>
        <v>9683610.7726163995</v>
      </c>
      <c r="O20" s="14">
        <f t="shared" si="2"/>
        <v>10687841.706265258</v>
      </c>
      <c r="P20" s="14">
        <f t="shared" si="2"/>
        <v>11099703.013812741</v>
      </c>
      <c r="Q20" s="14">
        <f t="shared" si="2"/>
        <v>11453997.382676413</v>
      </c>
    </row>
    <row r="22" spans="1:17" ht="15" customHeight="1" x14ac:dyDescent="0.2">
      <c r="A22" s="3" t="s">
        <v>307</v>
      </c>
    </row>
    <row r="23" spans="1:17" ht="15" customHeight="1" x14ac:dyDescent="0.2">
      <c r="A23" s="8" t="s">
        <v>308</v>
      </c>
      <c r="B23" s="13">
        <v>3210738</v>
      </c>
      <c r="C23" s="13">
        <v>3021319</v>
      </c>
      <c r="D23" s="13">
        <v>2815000</v>
      </c>
      <c r="E23" s="13">
        <v>2940000</v>
      </c>
      <c r="F23" s="13">
        <v>3118055</v>
      </c>
      <c r="G23" s="13">
        <v>2965000</v>
      </c>
      <c r="H23" s="13">
        <v>3205000</v>
      </c>
      <c r="I23" s="13">
        <v>3215000</v>
      </c>
      <c r="J23" s="13">
        <v>3360000</v>
      </c>
      <c r="K23" s="13">
        <v>3770000</v>
      </c>
      <c r="L23" s="13">
        <v>3600000</v>
      </c>
      <c r="M23" s="19">
        <f>L23+IS!M36+CFS!M27+CFS!M26</f>
        <v>4999404.5152079705</v>
      </c>
      <c r="N23" s="19">
        <f>M23+IS!N36+CFS!N27+CFS!N26</f>
        <v>5345228.2667742679</v>
      </c>
      <c r="O23" s="19">
        <f>N23+IS!O36+CFS!O27+CFS!O26</f>
        <v>6292113.3696393603</v>
      </c>
      <c r="P23" s="19">
        <f>O23+IS!P36+CFS!P27+CFS!P26</f>
        <v>6662083.9472124567</v>
      </c>
      <c r="Q23" s="19">
        <f>P23+IS!Q36+CFS!Q27+CFS!Q26</f>
        <v>6987635.4719789969</v>
      </c>
    </row>
    <row r="25" spans="1:17" ht="15" customHeight="1" x14ac:dyDescent="0.2">
      <c r="A25" s="8" t="s">
        <v>309</v>
      </c>
      <c r="B25" s="14">
        <f t="shared" ref="B25:Q25" si="3">B23</f>
        <v>3210738</v>
      </c>
      <c r="C25" s="14">
        <f t="shared" si="3"/>
        <v>3021319</v>
      </c>
      <c r="D25" s="14">
        <f t="shared" si="3"/>
        <v>2815000</v>
      </c>
      <c r="E25" s="14">
        <f t="shared" si="3"/>
        <v>2940000</v>
      </c>
      <c r="F25" s="14">
        <f t="shared" si="3"/>
        <v>3118055</v>
      </c>
      <c r="G25" s="14">
        <f t="shared" si="3"/>
        <v>2965000</v>
      </c>
      <c r="H25" s="14">
        <f t="shared" si="3"/>
        <v>3205000</v>
      </c>
      <c r="I25" s="14">
        <f t="shared" si="3"/>
        <v>3215000</v>
      </c>
      <c r="J25" s="14">
        <f t="shared" si="3"/>
        <v>3360000</v>
      </c>
      <c r="K25" s="14">
        <f t="shared" si="3"/>
        <v>3770000</v>
      </c>
      <c r="L25" s="14">
        <f t="shared" si="3"/>
        <v>3600000</v>
      </c>
      <c r="M25" s="14">
        <f t="shared" si="3"/>
        <v>4999404.5152079705</v>
      </c>
      <c r="N25" s="14">
        <f t="shared" si="3"/>
        <v>5345228.2667742679</v>
      </c>
      <c r="O25" s="14">
        <f t="shared" si="3"/>
        <v>6292113.3696393603</v>
      </c>
      <c r="P25" s="14">
        <f t="shared" si="3"/>
        <v>6662083.9472124567</v>
      </c>
      <c r="Q25" s="14">
        <f t="shared" si="3"/>
        <v>6987635.4719789969</v>
      </c>
    </row>
    <row r="27" spans="1:17" ht="15" customHeight="1" x14ac:dyDescent="0.2">
      <c r="A27" s="3" t="s">
        <v>310</v>
      </c>
    </row>
    <row r="28" spans="1:17" ht="15" customHeight="1" x14ac:dyDescent="0.2">
      <c r="A28" s="8" t="s">
        <v>311</v>
      </c>
      <c r="B28" s="13">
        <v>1973307</v>
      </c>
      <c r="C28" s="13">
        <v>2039832</v>
      </c>
      <c r="D28" s="13">
        <v>2250000</v>
      </c>
      <c r="E28" s="13">
        <v>2130590</v>
      </c>
      <c r="F28" s="13">
        <v>2366974</v>
      </c>
      <c r="G28" s="13">
        <v>2500000</v>
      </c>
      <c r="H28" s="13">
        <v>2580000</v>
      </c>
      <c r="I28" s="13">
        <v>2709601</v>
      </c>
      <c r="J28" s="13">
        <v>2800000</v>
      </c>
      <c r="K28" s="13">
        <v>2661345</v>
      </c>
      <c r="L28" s="13">
        <v>2900000</v>
      </c>
      <c r="M28" s="19">
        <f>Assumptions!B53*0.85</f>
        <v>3009000</v>
      </c>
      <c r="N28" s="19">
        <f>Assumptions!C53*0.85</f>
        <v>2986050</v>
      </c>
      <c r="O28" s="19">
        <f>Assumptions!D53*0.85</f>
        <v>2940150</v>
      </c>
      <c r="P28" s="19">
        <f>Assumptions!E53*0.85</f>
        <v>2892550</v>
      </c>
      <c r="Q28" s="19">
        <f>Assumptions!F53*0.85</f>
        <v>2843250</v>
      </c>
    </row>
    <row r="30" spans="1:17" ht="15" customHeight="1" x14ac:dyDescent="0.2">
      <c r="A30" s="8" t="s">
        <v>312</v>
      </c>
      <c r="B30" s="13">
        <v>212339</v>
      </c>
      <c r="C30" s="13">
        <v>155800</v>
      </c>
      <c r="D30" s="13">
        <v>176400</v>
      </c>
      <c r="E30" s="13">
        <v>169200</v>
      </c>
      <c r="F30" s="13">
        <v>148685</v>
      </c>
      <c r="G30" s="13">
        <v>94000</v>
      </c>
      <c r="H30" s="13">
        <v>245364</v>
      </c>
      <c r="I30" s="13">
        <v>204000</v>
      </c>
      <c r="J30" s="13">
        <v>270000</v>
      </c>
      <c r="K30" s="13">
        <v>310000</v>
      </c>
      <c r="L30" s="13">
        <v>301000</v>
      </c>
      <c r="M30" s="19">
        <f>Assumptions!B90</f>
        <v>301000</v>
      </c>
      <c r="N30" s="19">
        <f>Assumptions!C90</f>
        <v>301000</v>
      </c>
      <c r="O30" s="19">
        <f>Assumptions!D90</f>
        <v>301000</v>
      </c>
      <c r="P30" s="19">
        <f>Assumptions!E90</f>
        <v>301000</v>
      </c>
      <c r="Q30" s="19">
        <f>Assumptions!F90</f>
        <v>301000</v>
      </c>
    </row>
    <row r="32" spans="1:17" ht="15" customHeight="1" x14ac:dyDescent="0.2">
      <c r="A32" s="8" t="s">
        <v>313</v>
      </c>
      <c r="B32" s="13">
        <v>3715</v>
      </c>
      <c r="C32" s="13">
        <v>4100</v>
      </c>
      <c r="D32" s="13">
        <v>3500</v>
      </c>
      <c r="E32" s="13">
        <v>4000</v>
      </c>
      <c r="F32" s="13">
        <v>5000</v>
      </c>
      <c r="G32" s="13">
        <v>5500</v>
      </c>
      <c r="H32" s="13">
        <v>4000</v>
      </c>
      <c r="I32" s="13">
        <v>4500</v>
      </c>
      <c r="J32" s="13">
        <v>5000</v>
      </c>
      <c r="K32" s="13">
        <v>6000</v>
      </c>
      <c r="L32" s="13">
        <v>6500</v>
      </c>
      <c r="M32" s="13">
        <v>6500</v>
      </c>
      <c r="N32" s="13">
        <v>6500</v>
      </c>
      <c r="O32" s="13">
        <v>6500</v>
      </c>
      <c r="P32" s="13">
        <v>6500</v>
      </c>
      <c r="Q32" s="13">
        <v>6500</v>
      </c>
    </row>
    <row r="33" spans="1:17" ht="15" customHeight="1" x14ac:dyDescent="0.2">
      <c r="A33" s="8" t="s">
        <v>314</v>
      </c>
      <c r="B33" s="13">
        <v>6775</v>
      </c>
      <c r="C33" s="13">
        <v>6400</v>
      </c>
      <c r="D33" s="13">
        <v>6000</v>
      </c>
      <c r="E33" s="13">
        <v>6000</v>
      </c>
      <c r="F33" s="13">
        <v>6000</v>
      </c>
      <c r="G33" s="13">
        <v>6000</v>
      </c>
      <c r="H33" s="13">
        <v>6000</v>
      </c>
      <c r="I33" s="13">
        <v>6000</v>
      </c>
      <c r="J33" s="13">
        <v>6000</v>
      </c>
      <c r="K33" s="13">
        <v>6000</v>
      </c>
      <c r="L33" s="13">
        <v>6000</v>
      </c>
      <c r="M33" s="19">
        <f>Assumptions!B91</f>
        <v>12500</v>
      </c>
      <c r="N33" s="19">
        <f>Assumptions!C91</f>
        <v>12500</v>
      </c>
      <c r="O33" s="19">
        <f>Assumptions!D91</f>
        <v>12500</v>
      </c>
      <c r="P33" s="19">
        <f>Assumptions!E91</f>
        <v>12500</v>
      </c>
      <c r="Q33" s="19">
        <f>Assumptions!F91</f>
        <v>12500</v>
      </c>
    </row>
    <row r="34" spans="1:17" ht="15" customHeight="1" x14ac:dyDescent="0.2">
      <c r="A34" s="8" t="s">
        <v>315</v>
      </c>
      <c r="B34" s="14">
        <f t="shared" ref="B34:Q34" si="4">B28+B30+B32+B33</f>
        <v>2196136</v>
      </c>
      <c r="C34" s="14">
        <f t="shared" si="4"/>
        <v>2206132</v>
      </c>
      <c r="D34" s="14">
        <f t="shared" si="4"/>
        <v>2435900</v>
      </c>
      <c r="E34" s="14">
        <f t="shared" si="4"/>
        <v>2309790</v>
      </c>
      <c r="F34" s="14">
        <f t="shared" si="4"/>
        <v>2526659</v>
      </c>
      <c r="G34" s="14">
        <f t="shared" si="4"/>
        <v>2605500</v>
      </c>
      <c r="H34" s="14">
        <f t="shared" si="4"/>
        <v>2835364</v>
      </c>
      <c r="I34" s="14">
        <f t="shared" si="4"/>
        <v>2924101</v>
      </c>
      <c r="J34" s="14">
        <f t="shared" si="4"/>
        <v>3081000</v>
      </c>
      <c r="K34" s="14">
        <f t="shared" si="4"/>
        <v>2983345</v>
      </c>
      <c r="L34" s="14">
        <f t="shared" si="4"/>
        <v>3213500</v>
      </c>
      <c r="M34" s="14">
        <f t="shared" si="4"/>
        <v>3329000</v>
      </c>
      <c r="N34" s="14">
        <f t="shared" si="4"/>
        <v>3306050</v>
      </c>
      <c r="O34" s="14">
        <f t="shared" si="4"/>
        <v>3260150</v>
      </c>
      <c r="P34" s="14">
        <f t="shared" si="4"/>
        <v>3212550</v>
      </c>
      <c r="Q34" s="14">
        <f t="shared" si="4"/>
        <v>3163250</v>
      </c>
    </row>
    <row r="36" spans="1:17" ht="15" customHeight="1" x14ac:dyDescent="0.2">
      <c r="A36" s="3" t="s">
        <v>316</v>
      </c>
    </row>
    <row r="37" spans="1:17" ht="15" customHeight="1" x14ac:dyDescent="0.2">
      <c r="A37" s="8" t="s">
        <v>317</v>
      </c>
      <c r="B37" s="13">
        <v>299140</v>
      </c>
      <c r="C37" s="13">
        <v>395834</v>
      </c>
      <c r="D37" s="13">
        <v>343822</v>
      </c>
      <c r="E37" s="13">
        <v>588605</v>
      </c>
      <c r="F37" s="13">
        <v>374674</v>
      </c>
      <c r="G37" s="13">
        <v>396790</v>
      </c>
      <c r="H37" s="13">
        <v>398437</v>
      </c>
      <c r="I37" s="13">
        <v>504953</v>
      </c>
      <c r="J37" s="13">
        <v>518417</v>
      </c>
      <c r="K37" s="13">
        <v>624736</v>
      </c>
      <c r="L37" s="13">
        <v>590395</v>
      </c>
      <c r="M37" s="19">
        <f>Assumptions!B53*0.15</f>
        <v>531000</v>
      </c>
      <c r="N37" s="19">
        <f>Assumptions!C53*0.15</f>
        <v>526950</v>
      </c>
      <c r="O37" s="19">
        <f>Assumptions!D53*0.15</f>
        <v>518850</v>
      </c>
      <c r="P37" s="19">
        <f>Assumptions!E53*0.15</f>
        <v>510450</v>
      </c>
      <c r="Q37" s="19">
        <f>Assumptions!F53*0.15</f>
        <v>501750</v>
      </c>
    </row>
    <row r="38" spans="1:17" ht="15" customHeight="1" x14ac:dyDescent="0.2">
      <c r="A38" s="8" t="s">
        <v>318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9">
        <f>Assumptions!B54</f>
        <v>142540.12580471102</v>
      </c>
      <c r="N38" s="19">
        <f>Assumptions!C54</f>
        <v>293382.50584213133</v>
      </c>
      <c r="O38" s="19">
        <f>Assumptions!D54</f>
        <v>403728.33662589733</v>
      </c>
      <c r="P38" s="19">
        <f>Assumptions!E54</f>
        <v>500619.06660028448</v>
      </c>
      <c r="Q38" s="19">
        <f>Assumptions!F54</f>
        <v>586361.91069741594</v>
      </c>
    </row>
    <row r="40" spans="1:17" ht="15" customHeight="1" x14ac:dyDescent="0.2">
      <c r="A40" s="8" t="s">
        <v>319</v>
      </c>
      <c r="B40" s="13">
        <v>111352</v>
      </c>
      <c r="C40" s="13">
        <v>68262</v>
      </c>
      <c r="D40" s="13">
        <v>77660</v>
      </c>
      <c r="E40" s="13">
        <v>72267</v>
      </c>
      <c r="F40" s="13">
        <v>61871</v>
      </c>
      <c r="G40" s="13">
        <v>59561</v>
      </c>
      <c r="H40" s="13">
        <v>59773</v>
      </c>
      <c r="I40" s="13">
        <v>59974</v>
      </c>
      <c r="J40" s="13">
        <v>62000</v>
      </c>
      <c r="K40" s="13">
        <v>65000</v>
      </c>
      <c r="L40" s="13">
        <v>66000</v>
      </c>
      <c r="M40" s="19">
        <f>Assumptions!B92</f>
        <v>66000</v>
      </c>
      <c r="N40" s="19">
        <f>Assumptions!C92</f>
        <v>66000</v>
      </c>
      <c r="O40" s="19">
        <f>Assumptions!D92</f>
        <v>66000</v>
      </c>
      <c r="P40" s="19">
        <f>Assumptions!E92</f>
        <v>66000</v>
      </c>
      <c r="Q40" s="19">
        <f>Assumptions!F92</f>
        <v>66000</v>
      </c>
    </row>
    <row r="41" spans="1:17" ht="15" customHeight="1" x14ac:dyDescent="0.2">
      <c r="A41" s="8" t="s">
        <v>320</v>
      </c>
      <c r="B41" s="14">
        <f t="shared" ref="B41:Q41" si="5">B37+B38+B40</f>
        <v>410492</v>
      </c>
      <c r="C41" s="14">
        <f t="shared" si="5"/>
        <v>464096</v>
      </c>
      <c r="D41" s="14">
        <f t="shared" si="5"/>
        <v>421482</v>
      </c>
      <c r="E41" s="14">
        <f t="shared" si="5"/>
        <v>660872</v>
      </c>
      <c r="F41" s="14">
        <f t="shared" si="5"/>
        <v>436545</v>
      </c>
      <c r="G41" s="14">
        <f t="shared" si="5"/>
        <v>456351</v>
      </c>
      <c r="H41" s="14">
        <f t="shared" si="5"/>
        <v>458210</v>
      </c>
      <c r="I41" s="14">
        <f t="shared" si="5"/>
        <v>564927</v>
      </c>
      <c r="J41" s="14">
        <f t="shared" si="5"/>
        <v>580417</v>
      </c>
      <c r="K41" s="14">
        <f t="shared" si="5"/>
        <v>689736</v>
      </c>
      <c r="L41" s="14">
        <f t="shared" si="5"/>
        <v>656395</v>
      </c>
      <c r="M41" s="14">
        <f t="shared" si="5"/>
        <v>739540.12580471102</v>
      </c>
      <c r="N41" s="14">
        <f t="shared" si="5"/>
        <v>886332.50584213133</v>
      </c>
      <c r="O41" s="14">
        <f t="shared" si="5"/>
        <v>988578.33662589733</v>
      </c>
      <c r="P41" s="14">
        <f t="shared" si="5"/>
        <v>1077069.0666002845</v>
      </c>
      <c r="Q41" s="14">
        <f t="shared" si="5"/>
        <v>1154111.9106974159</v>
      </c>
    </row>
    <row r="43" spans="1:17" ht="15" customHeight="1" x14ac:dyDescent="0.2">
      <c r="A43" s="3" t="s">
        <v>321</v>
      </c>
      <c r="B43" s="14">
        <f t="shared" ref="B43:Q43" si="6">B34+B41</f>
        <v>2606628</v>
      </c>
      <c r="C43" s="14">
        <f t="shared" si="6"/>
        <v>2670228</v>
      </c>
      <c r="D43" s="14">
        <f t="shared" si="6"/>
        <v>2857382</v>
      </c>
      <c r="E43" s="14">
        <f t="shared" si="6"/>
        <v>2970662</v>
      </c>
      <c r="F43" s="14">
        <f t="shared" si="6"/>
        <v>2963204</v>
      </c>
      <c r="G43" s="14">
        <f t="shared" si="6"/>
        <v>3061851</v>
      </c>
      <c r="H43" s="14">
        <f t="shared" si="6"/>
        <v>3293574</v>
      </c>
      <c r="I43" s="14">
        <f t="shared" si="6"/>
        <v>3489028</v>
      </c>
      <c r="J43" s="14">
        <f t="shared" si="6"/>
        <v>3661417</v>
      </c>
      <c r="K43" s="14">
        <f t="shared" si="6"/>
        <v>3673081</v>
      </c>
      <c r="L43" s="14">
        <f t="shared" si="6"/>
        <v>3869895</v>
      </c>
      <c r="M43" s="14">
        <f t="shared" si="6"/>
        <v>4068540.1258047111</v>
      </c>
      <c r="N43" s="14">
        <f t="shared" si="6"/>
        <v>4192382.5058421316</v>
      </c>
      <c r="O43" s="14">
        <f t="shared" si="6"/>
        <v>4248728.3366258973</v>
      </c>
      <c r="P43" s="14">
        <f t="shared" si="6"/>
        <v>4289619.0666002845</v>
      </c>
      <c r="Q43" s="14">
        <f t="shared" si="6"/>
        <v>4317361.9106974155</v>
      </c>
    </row>
    <row r="44" spans="1:17" ht="15" customHeight="1" x14ac:dyDescent="0.2">
      <c r="A44" s="8" t="s">
        <v>322</v>
      </c>
      <c r="B44" s="14">
        <f t="shared" ref="B44:Q44" si="7">B25+B43</f>
        <v>5817366</v>
      </c>
      <c r="C44" s="14">
        <f t="shared" si="7"/>
        <v>5691547</v>
      </c>
      <c r="D44" s="14">
        <f t="shared" si="7"/>
        <v>5672382</v>
      </c>
      <c r="E44" s="14">
        <f t="shared" si="7"/>
        <v>5910662</v>
      </c>
      <c r="F44" s="14">
        <f t="shared" si="7"/>
        <v>6081259</v>
      </c>
      <c r="G44" s="14">
        <f t="shared" si="7"/>
        <v>6026851</v>
      </c>
      <c r="H44" s="14">
        <f t="shared" si="7"/>
        <v>6498574</v>
      </c>
      <c r="I44" s="14">
        <f t="shared" si="7"/>
        <v>6704028</v>
      </c>
      <c r="J44" s="14">
        <f t="shared" si="7"/>
        <v>7021417</v>
      </c>
      <c r="K44" s="14">
        <f t="shared" si="7"/>
        <v>7443081</v>
      </c>
      <c r="L44" s="14">
        <f t="shared" si="7"/>
        <v>7469895</v>
      </c>
      <c r="M44" s="14">
        <f t="shared" si="7"/>
        <v>9067944.6410126816</v>
      </c>
      <c r="N44" s="14">
        <f t="shared" si="7"/>
        <v>9537610.7726163995</v>
      </c>
      <c r="O44" s="14">
        <f t="shared" si="7"/>
        <v>10540841.706265258</v>
      </c>
      <c r="P44" s="14">
        <f t="shared" si="7"/>
        <v>10951703.013812741</v>
      </c>
      <c r="Q44" s="14">
        <f t="shared" si="7"/>
        <v>11304997.382676411</v>
      </c>
    </row>
    <row r="46" spans="1:17" ht="15" customHeight="1" x14ac:dyDescent="0.2">
      <c r="A46" s="8" t="s">
        <v>323</v>
      </c>
      <c r="B46" s="14">
        <f t="shared" ref="B46:Q46" si="8">B20-B44</f>
        <v>16476</v>
      </c>
      <c r="C46" s="14">
        <f t="shared" si="8"/>
        <v>69936</v>
      </c>
      <c r="D46" s="14">
        <f t="shared" si="8"/>
        <v>39965</v>
      </c>
      <c r="E46" s="14">
        <f t="shared" si="8"/>
        <v>-3679</v>
      </c>
      <c r="F46" s="14">
        <f t="shared" si="8"/>
        <v>-38283</v>
      </c>
      <c r="G46" s="14">
        <f t="shared" si="8"/>
        <v>36252</v>
      </c>
      <c r="H46" s="14">
        <f t="shared" si="8"/>
        <v>-21309</v>
      </c>
      <c r="I46" s="14">
        <f t="shared" si="8"/>
        <v>72640</v>
      </c>
      <c r="J46" s="14">
        <f t="shared" si="8"/>
        <v>161483</v>
      </c>
      <c r="K46" s="14">
        <f t="shared" si="8"/>
        <v>211419</v>
      </c>
      <c r="L46" s="14">
        <f t="shared" si="8"/>
        <v>250105</v>
      </c>
      <c r="M46" s="14">
        <f t="shared" si="8"/>
        <v>145000</v>
      </c>
      <c r="N46" s="14">
        <f t="shared" si="8"/>
        <v>146000</v>
      </c>
      <c r="O46" s="14">
        <f t="shared" si="8"/>
        <v>147000</v>
      </c>
      <c r="P46" s="14">
        <f t="shared" si="8"/>
        <v>148000</v>
      </c>
      <c r="Q46" s="14">
        <f t="shared" si="8"/>
        <v>149000.00000000186</v>
      </c>
    </row>
    <row r="48" spans="1:17" ht="15" customHeight="1" x14ac:dyDescent="0.2">
      <c r="A48" s="3" t="s">
        <v>324</v>
      </c>
    </row>
    <row r="49" spans="1:17" ht="15" customHeight="1" x14ac:dyDescent="0.2">
      <c r="A49" s="8" t="s">
        <v>325</v>
      </c>
      <c r="B49" s="14">
        <f t="shared" ref="B49:Q49" si="9">B28+B37+B38</f>
        <v>2272447</v>
      </c>
      <c r="C49" s="14">
        <f t="shared" si="9"/>
        <v>2435666</v>
      </c>
      <c r="D49" s="14">
        <f t="shared" si="9"/>
        <v>2593822</v>
      </c>
      <c r="E49" s="14">
        <f t="shared" si="9"/>
        <v>2719195</v>
      </c>
      <c r="F49" s="14">
        <f t="shared" si="9"/>
        <v>2741648</v>
      </c>
      <c r="G49" s="14">
        <f t="shared" si="9"/>
        <v>2896790</v>
      </c>
      <c r="H49" s="14">
        <f t="shared" si="9"/>
        <v>2978437</v>
      </c>
      <c r="I49" s="14">
        <f t="shared" si="9"/>
        <v>3214554</v>
      </c>
      <c r="J49" s="14">
        <f t="shared" si="9"/>
        <v>3318417</v>
      </c>
      <c r="K49" s="14">
        <f t="shared" si="9"/>
        <v>3286081</v>
      </c>
      <c r="L49" s="14">
        <f t="shared" si="9"/>
        <v>3490395</v>
      </c>
      <c r="M49" s="14">
        <f t="shared" si="9"/>
        <v>3682540.1258047111</v>
      </c>
      <c r="N49" s="14">
        <f t="shared" si="9"/>
        <v>3806382.5058421316</v>
      </c>
      <c r="O49" s="14">
        <f t="shared" si="9"/>
        <v>3862728.3366258973</v>
      </c>
      <c r="P49" s="14">
        <f t="shared" si="9"/>
        <v>3903619.0666002845</v>
      </c>
      <c r="Q49" s="14">
        <f t="shared" si="9"/>
        <v>3931361.9106974159</v>
      </c>
    </row>
    <row r="50" spans="1:17" ht="15" customHeight="1" x14ac:dyDescent="0.2">
      <c r="A50" s="8" t="s">
        <v>326</v>
      </c>
      <c r="B50" s="14">
        <f t="shared" ref="B50:Q50" si="10">B49-B14</f>
        <v>2035431</v>
      </c>
      <c r="C50" s="14">
        <f t="shared" si="10"/>
        <v>2336564</v>
      </c>
      <c r="D50" s="14">
        <f t="shared" si="10"/>
        <v>2522988</v>
      </c>
      <c r="E50" s="14">
        <f t="shared" si="10"/>
        <v>2681109</v>
      </c>
      <c r="F50" s="14">
        <f t="shared" si="10"/>
        <v>2706482</v>
      </c>
      <c r="G50" s="14">
        <f t="shared" si="10"/>
        <v>2843830</v>
      </c>
      <c r="H50" s="14">
        <f t="shared" si="10"/>
        <v>2914137</v>
      </c>
      <c r="I50" s="14">
        <f t="shared" si="10"/>
        <v>3161738</v>
      </c>
      <c r="J50" s="14">
        <f t="shared" si="10"/>
        <v>3263417</v>
      </c>
      <c r="K50" s="14">
        <f t="shared" si="10"/>
        <v>3228081</v>
      </c>
      <c r="L50" s="14">
        <f t="shared" si="10"/>
        <v>3445395</v>
      </c>
      <c r="M50" s="14">
        <f t="shared" si="10"/>
        <v>3637540.1258047111</v>
      </c>
      <c r="N50" s="14">
        <f t="shared" si="10"/>
        <v>3761382.5058421316</v>
      </c>
      <c r="O50" s="14">
        <f t="shared" si="10"/>
        <v>3817728.3366258973</v>
      </c>
      <c r="P50" s="14">
        <f t="shared" si="10"/>
        <v>3858619.0666002845</v>
      </c>
      <c r="Q50" s="14">
        <f t="shared" si="10"/>
        <v>3886361.9106974159</v>
      </c>
    </row>
    <row r="51" spans="1:17" ht="15" customHeight="1" x14ac:dyDescent="0.2">
      <c r="A51" s="8" t="s">
        <v>327</v>
      </c>
      <c r="B51" s="9">
        <f t="shared" ref="B51:Q51" si="11">IF(B20&lt;&gt;0,B49/B20,0)</f>
        <v>0.38952837598275714</v>
      </c>
      <c r="C51" s="9">
        <f t="shared" si="11"/>
        <v>0.42274983715130288</v>
      </c>
      <c r="D51" s="9">
        <f t="shared" si="11"/>
        <v>0.45407290558504237</v>
      </c>
      <c r="E51" s="9">
        <f t="shared" si="11"/>
        <v>0.46033567389647134</v>
      </c>
      <c r="F51" s="9">
        <f t="shared" si="11"/>
        <v>0.45369169098139722</v>
      </c>
      <c r="G51" s="9">
        <f t="shared" si="11"/>
        <v>0.47777350970286997</v>
      </c>
      <c r="H51" s="9">
        <f t="shared" si="11"/>
        <v>0.45982941874386796</v>
      </c>
      <c r="I51" s="9">
        <f t="shared" si="11"/>
        <v>0.47435612900026974</v>
      </c>
      <c r="J51" s="9">
        <f t="shared" si="11"/>
        <v>0.46198847262247839</v>
      </c>
      <c r="K51" s="9">
        <f t="shared" si="11"/>
        <v>0.42930054216473967</v>
      </c>
      <c r="L51" s="9">
        <f t="shared" si="11"/>
        <v>0.45212370466321244</v>
      </c>
      <c r="M51" s="9">
        <f t="shared" si="11"/>
        <v>0.39971369299359305</v>
      </c>
      <c r="N51" s="9">
        <f t="shared" si="11"/>
        <v>0.39307471099581287</v>
      </c>
      <c r="O51" s="9">
        <f t="shared" si="11"/>
        <v>0.36141331830930373</v>
      </c>
      <c r="P51" s="9">
        <f t="shared" si="11"/>
        <v>0.35168680294801813</v>
      </c>
      <c r="Q51" s="9">
        <f t="shared" si="11"/>
        <v>0.34323055780014411</v>
      </c>
    </row>
    <row r="52" spans="1:17" ht="15" customHeight="1" x14ac:dyDescent="0.2">
      <c r="A52" s="8" t="s">
        <v>328</v>
      </c>
      <c r="B52" s="11">
        <f t="shared" ref="B52:Q52" si="12">IF(B53&lt;&gt;0,B23/B53,0)</f>
        <v>68.536683245458619</v>
      </c>
      <c r="C52" s="11">
        <f t="shared" si="12"/>
        <v>65.423420887377929</v>
      </c>
      <c r="D52" s="11">
        <f t="shared" si="12"/>
        <v>60.749277051232248</v>
      </c>
      <c r="E52" s="11">
        <f t="shared" si="12"/>
        <v>63.372995344024829</v>
      </c>
      <c r="F52" s="11">
        <f t="shared" si="12"/>
        <v>67.111233077204531</v>
      </c>
      <c r="G52" s="11">
        <f t="shared" si="12"/>
        <v>63.69632000687448</v>
      </c>
      <c r="H52" s="11">
        <f t="shared" si="12"/>
        <v>69.467022129744024</v>
      </c>
      <c r="I52" s="11">
        <f t="shared" si="12"/>
        <v>70.314721256260526</v>
      </c>
      <c r="J52" s="11">
        <f t="shared" si="12"/>
        <v>73.325622503982714</v>
      </c>
      <c r="K52" s="11">
        <f t="shared" si="12"/>
        <v>82.541489687787362</v>
      </c>
      <c r="L52" s="11">
        <f t="shared" si="12"/>
        <v>80.400214400571741</v>
      </c>
      <c r="M52" s="11">
        <f t="shared" si="12"/>
        <v>101.8208658901827</v>
      </c>
      <c r="N52" s="11">
        <f t="shared" si="12"/>
        <v>108.86411948623764</v>
      </c>
      <c r="O52" s="11">
        <f t="shared" si="12"/>
        <v>128.14894846516009</v>
      </c>
      <c r="P52" s="11">
        <f t="shared" si="12"/>
        <v>135.68399077825777</v>
      </c>
      <c r="Q52" s="11">
        <f t="shared" si="12"/>
        <v>142.31436806474537</v>
      </c>
    </row>
    <row r="53" spans="1:17" ht="15" customHeight="1" x14ac:dyDescent="0.2">
      <c r="A53" s="8" t="s">
        <v>329</v>
      </c>
      <c r="B53" s="13">
        <v>46847</v>
      </c>
      <c r="C53" s="13">
        <v>46181</v>
      </c>
      <c r="D53" s="13">
        <v>46338</v>
      </c>
      <c r="E53" s="13">
        <v>46392</v>
      </c>
      <c r="F53" s="13">
        <v>46461</v>
      </c>
      <c r="G53" s="13">
        <v>46549</v>
      </c>
      <c r="H53" s="13">
        <v>46137</v>
      </c>
      <c r="I53" s="13">
        <v>45723</v>
      </c>
      <c r="J53" s="13">
        <v>45823</v>
      </c>
      <c r="K53" s="13">
        <v>45674</v>
      </c>
      <c r="L53" s="13">
        <v>44776</v>
      </c>
      <c r="M53" s="19">
        <f>Assumptions!B82</f>
        <v>49100</v>
      </c>
      <c r="N53" s="19">
        <f>Assumptions!C82</f>
        <v>49100</v>
      </c>
      <c r="O53" s="19">
        <f>Assumptions!D82</f>
        <v>49100</v>
      </c>
      <c r="P53" s="19">
        <f>Assumptions!E82</f>
        <v>49100</v>
      </c>
      <c r="Q53" s="19">
        <f>Assumptions!F82</f>
        <v>49100</v>
      </c>
    </row>
    <row r="54" spans="1:17" ht="15" customHeight="1" x14ac:dyDescent="0.2">
      <c r="A54" s="8" t="s">
        <v>330</v>
      </c>
      <c r="B54" s="19">
        <f>IS!B20+IS!B23+IS!B26</f>
        <v>261295</v>
      </c>
      <c r="C54" s="19">
        <f>IS!C20+IS!C23+IS!C26</f>
        <v>219152</v>
      </c>
      <c r="D54" s="19">
        <f>IS!D20+IS!D23+IS!D26</f>
        <v>182681</v>
      </c>
      <c r="E54" s="19">
        <f>IS!E20+IS!E23+IS!E26</f>
        <v>188219</v>
      </c>
      <c r="F54" s="19">
        <f>IS!F20+IS!F23+IS!F26</f>
        <v>220148</v>
      </c>
      <c r="G54" s="19">
        <f>IS!G20+IS!G23+IS!G26</f>
        <v>233075</v>
      </c>
      <c r="H54" s="19">
        <f>IS!H20+IS!H23+IS!H26</f>
        <v>241058</v>
      </c>
      <c r="I54" s="19">
        <f>IS!I20+IS!I23+IS!I26</f>
        <v>253461</v>
      </c>
      <c r="J54" s="19">
        <f>IS!J20+IS!J23+IS!J26</f>
        <v>291817</v>
      </c>
      <c r="K54" s="19">
        <f>IS!K20+IS!K23+IS!K26</f>
        <v>337543</v>
      </c>
      <c r="L54" s="19">
        <f>IS!L20+IS!L23+IS!L26</f>
        <v>371861</v>
      </c>
      <c r="M54" s="19">
        <f>IS!M20+IS!M23+IS!M26</f>
        <v>379431.32716033276</v>
      </c>
      <c r="N54" s="19">
        <f>IS!N20+IS!N23+IS!N26</f>
        <v>398824.41212787834</v>
      </c>
      <c r="O54" s="19">
        <f>IS!O20+IS!O23+IS!O26</f>
        <v>418320.45829291624</v>
      </c>
      <c r="P54" s="19">
        <f>IS!P20+IS!P23+IS!P26</f>
        <v>434296.64102376252</v>
      </c>
      <c r="Q54" s="19">
        <f>IS!Q20+IS!Q23+IS!Q26</f>
        <v>447573.38900836621</v>
      </c>
    </row>
    <row r="55" spans="1:17" ht="15" customHeight="1" x14ac:dyDescent="0.2">
      <c r="A55" s="8" t="s">
        <v>331</v>
      </c>
      <c r="B55" s="27">
        <f t="shared" ref="B55:Q55" si="13">IF(B54&lt;&gt;0,B50/B54,0)</f>
        <v>7.7897816644023044</v>
      </c>
      <c r="C55" s="27">
        <f t="shared" si="13"/>
        <v>10.661842009199095</v>
      </c>
      <c r="D55" s="27">
        <f t="shared" si="13"/>
        <v>13.81089440062185</v>
      </c>
      <c r="E55" s="27">
        <f t="shared" si="13"/>
        <v>14.244624612818047</v>
      </c>
      <c r="F55" s="27">
        <f t="shared" si="13"/>
        <v>12.293920453513092</v>
      </c>
      <c r="G55" s="27">
        <f t="shared" si="13"/>
        <v>12.201351496299475</v>
      </c>
      <c r="H55" s="27">
        <f t="shared" si="13"/>
        <v>12.088945399032598</v>
      </c>
      <c r="I55" s="27">
        <f t="shared" si="13"/>
        <v>12.474258367164968</v>
      </c>
      <c r="J55" s="27">
        <f t="shared" si="13"/>
        <v>11.183094199446913</v>
      </c>
      <c r="K55" s="27">
        <f t="shared" si="13"/>
        <v>9.5634659880370805</v>
      </c>
      <c r="L55" s="27">
        <f t="shared" si="13"/>
        <v>9.2652765415034111</v>
      </c>
      <c r="M55" s="27">
        <f t="shared" si="13"/>
        <v>9.5868207641896408</v>
      </c>
      <c r="N55" s="27">
        <f t="shared" si="13"/>
        <v>9.4311741996277014</v>
      </c>
      <c r="O55" s="27">
        <f t="shared" si="13"/>
        <v>9.1263247133675893</v>
      </c>
      <c r="P55" s="27">
        <f t="shared" si="13"/>
        <v>8.8847545712175116</v>
      </c>
      <c r="Q55" s="27">
        <f t="shared" si="13"/>
        <v>8.6831835988014259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6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332</v>
      </c>
    </row>
    <row r="3" spans="1:17" ht="15" customHeight="1" x14ac:dyDescent="0.2">
      <c r="A3" s="4" t="s">
        <v>333</v>
      </c>
    </row>
    <row r="5" spans="1:17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7" ht="15" customHeight="1" x14ac:dyDescent="0.2">
      <c r="A7" s="3" t="s">
        <v>334</v>
      </c>
    </row>
    <row r="8" spans="1:17" ht="15" customHeight="1" x14ac:dyDescent="0.2">
      <c r="A8" s="8" t="s">
        <v>335</v>
      </c>
      <c r="B8" s="19">
        <f>IS!B36</f>
        <v>28848</v>
      </c>
      <c r="C8" s="19">
        <f>IS!C36</f>
        <v>-92959</v>
      </c>
      <c r="D8" s="19">
        <f>IS!D36</f>
        <v>41080</v>
      </c>
      <c r="E8" s="19">
        <f>IS!E36</f>
        <v>175373</v>
      </c>
      <c r="F8" s="19">
        <f>IS!F36</f>
        <v>48740</v>
      </c>
      <c r="G8" s="19">
        <f>IS!G36</f>
        <v>-140837</v>
      </c>
      <c r="H8" s="19">
        <f>IS!H36</f>
        <v>544802</v>
      </c>
      <c r="I8" s="19">
        <f>IS!I36</f>
        <v>217996</v>
      </c>
      <c r="J8" s="19">
        <f>IS!J36</f>
        <v>407832</v>
      </c>
      <c r="K8" s="19">
        <f>IS!K36</f>
        <v>519272</v>
      </c>
      <c r="L8" s="19">
        <f>IS!L36</f>
        <v>217396</v>
      </c>
      <c r="M8" s="19">
        <f>IS!M36</f>
        <v>1495344.5152079705</v>
      </c>
      <c r="N8" s="19">
        <f>IS!N36</f>
        <v>444428.75156629749</v>
      </c>
      <c r="O8" s="19">
        <f>IS!O36</f>
        <v>1048155.1028650922</v>
      </c>
      <c r="P8" s="19">
        <f>IS!P36</f>
        <v>473905.57757309644</v>
      </c>
      <c r="Q8" s="19">
        <f>IS!Q36</f>
        <v>432151.52476654056</v>
      </c>
    </row>
    <row r="9" spans="1:17" ht="15" customHeight="1" x14ac:dyDescent="0.2">
      <c r="A9" s="8" t="s">
        <v>274</v>
      </c>
      <c r="B9" s="13">
        <v>-194920</v>
      </c>
      <c r="C9" s="13">
        <v>-180843</v>
      </c>
      <c r="D9" s="13">
        <v>-32256</v>
      </c>
      <c r="E9" s="13">
        <v>92348</v>
      </c>
      <c r="F9" s="13">
        <v>-102692</v>
      </c>
      <c r="G9" s="13">
        <v>-326536</v>
      </c>
      <c r="H9" s="13">
        <v>607185</v>
      </c>
      <c r="I9" s="13">
        <v>103342</v>
      </c>
      <c r="J9" s="13">
        <v>306889</v>
      </c>
      <c r="K9" s="13">
        <v>359888</v>
      </c>
      <c r="L9" s="13">
        <v>-24948</v>
      </c>
      <c r="M9" s="19">
        <f>-IS!M28</f>
        <v>-1257845.3299015705</v>
      </c>
      <c r="N9" s="19">
        <f>-IS!N28</f>
        <v>-188137.29160371781</v>
      </c>
      <c r="O9" s="19">
        <f>-IS!O28</f>
        <v>-770430.89809330273</v>
      </c>
      <c r="P9" s="19">
        <f>-IS!P28</f>
        <v>-176712.29865859478</v>
      </c>
      <c r="Q9" s="19">
        <f>-IS!Q28</f>
        <v>-117718.60886367213</v>
      </c>
    </row>
    <row r="10" spans="1:17" ht="15" customHeight="1" x14ac:dyDescent="0.2">
      <c r="A10" s="8" t="s">
        <v>275</v>
      </c>
      <c r="B10" s="13">
        <v>63053</v>
      </c>
      <c r="C10" s="13">
        <v>-35519</v>
      </c>
      <c r="D10" s="13">
        <v>-20600</v>
      </c>
      <c r="E10" s="13">
        <v>-20250</v>
      </c>
      <c r="F10" s="13">
        <v>30485</v>
      </c>
      <c r="G10" s="13">
        <v>56290</v>
      </c>
      <c r="H10" s="13">
        <v>-209520</v>
      </c>
      <c r="I10" s="13">
        <v>-33835</v>
      </c>
      <c r="J10" s="13">
        <v>-67700</v>
      </c>
      <c r="K10" s="13">
        <v>-46200</v>
      </c>
      <c r="L10" s="13">
        <v>8900</v>
      </c>
      <c r="M10" s="19">
        <f>-IS!M29</f>
        <v>0</v>
      </c>
      <c r="N10" s="19">
        <f>-IS!N29</f>
        <v>0</v>
      </c>
      <c r="O10" s="19">
        <f>-IS!O29</f>
        <v>0</v>
      </c>
      <c r="P10" s="19">
        <f>-IS!P29</f>
        <v>0</v>
      </c>
      <c r="Q10" s="19">
        <f>-IS!Q29</f>
        <v>0</v>
      </c>
    </row>
    <row r="11" spans="1:17" ht="15" customHeight="1" x14ac:dyDescent="0.2">
      <c r="A11" s="8" t="s">
        <v>276</v>
      </c>
      <c r="B11" s="13">
        <v>1506</v>
      </c>
      <c r="C11" s="13">
        <v>-5838</v>
      </c>
      <c r="D11" s="13">
        <v>4422</v>
      </c>
      <c r="E11" s="13">
        <v>2455</v>
      </c>
      <c r="F11" s="13">
        <v>-2234</v>
      </c>
      <c r="G11" s="13">
        <v>-2785</v>
      </c>
      <c r="H11" s="13">
        <v>5480</v>
      </c>
      <c r="I11" s="13">
        <v>-1070</v>
      </c>
      <c r="J11" s="13">
        <v>-4100</v>
      </c>
      <c r="K11" s="13">
        <v>0</v>
      </c>
      <c r="L11" s="13">
        <v>0</v>
      </c>
      <c r="M11" s="19">
        <f>-IS!M30</f>
        <v>0</v>
      </c>
      <c r="N11" s="19">
        <f>-IS!N30</f>
        <v>0</v>
      </c>
      <c r="O11" s="19">
        <f>-IS!O30</f>
        <v>0</v>
      </c>
      <c r="P11" s="19">
        <f>-IS!P30</f>
        <v>0</v>
      </c>
      <c r="Q11" s="19">
        <f>-IS!Q30</f>
        <v>0</v>
      </c>
    </row>
    <row r="12" spans="1:17" ht="15" customHeight="1" x14ac:dyDescent="0.2">
      <c r="A12" s="8" t="s">
        <v>336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</row>
    <row r="13" spans="1:17" ht="15" customHeight="1" x14ac:dyDescent="0.2">
      <c r="A13" s="8" t="s">
        <v>337</v>
      </c>
      <c r="B13" s="13">
        <v>13649</v>
      </c>
      <c r="C13" s="13">
        <v>14079</v>
      </c>
      <c r="D13" s="13">
        <v>9586</v>
      </c>
      <c r="E13" s="13">
        <v>10754</v>
      </c>
      <c r="F13" s="13">
        <v>12809</v>
      </c>
      <c r="G13" s="13">
        <v>12195</v>
      </c>
      <c r="H13" s="13">
        <v>11809</v>
      </c>
      <c r="I13" s="13">
        <v>11782</v>
      </c>
      <c r="J13" s="13">
        <v>11921</v>
      </c>
      <c r="K13" s="13">
        <v>12318</v>
      </c>
      <c r="L13" s="13">
        <v>12500</v>
      </c>
      <c r="M13" s="13">
        <v>12500</v>
      </c>
      <c r="N13" s="13">
        <v>12500</v>
      </c>
      <c r="O13" s="13">
        <v>12500</v>
      </c>
      <c r="P13" s="13">
        <v>12500</v>
      </c>
      <c r="Q13" s="13">
        <v>12500</v>
      </c>
    </row>
    <row r="14" spans="1:17" ht="15" customHeight="1" x14ac:dyDescent="0.2">
      <c r="A14" s="8" t="s">
        <v>338</v>
      </c>
      <c r="B14" s="13">
        <v>2000</v>
      </c>
      <c r="C14" s="13">
        <v>2000</v>
      </c>
      <c r="D14" s="13">
        <v>2000</v>
      </c>
      <c r="E14" s="13">
        <v>2000</v>
      </c>
      <c r="F14" s="13">
        <v>2000</v>
      </c>
      <c r="G14" s="13">
        <v>2000</v>
      </c>
      <c r="H14" s="13">
        <v>2000</v>
      </c>
      <c r="I14" s="13">
        <v>2000</v>
      </c>
      <c r="J14" s="13">
        <v>2000</v>
      </c>
      <c r="K14" s="13">
        <v>2000</v>
      </c>
      <c r="L14" s="13">
        <v>2000</v>
      </c>
      <c r="M14" s="13">
        <v>2000</v>
      </c>
      <c r="N14" s="13">
        <v>2000</v>
      </c>
      <c r="O14" s="13">
        <v>2000</v>
      </c>
      <c r="P14" s="13">
        <v>2000</v>
      </c>
      <c r="Q14" s="13">
        <v>2000</v>
      </c>
    </row>
    <row r="15" spans="1:17" ht="15" customHeight="1" x14ac:dyDescent="0.2">
      <c r="A15" s="8" t="s">
        <v>277</v>
      </c>
      <c r="B15" s="13">
        <v>6855</v>
      </c>
      <c r="C15" s="13">
        <v>0</v>
      </c>
      <c r="D15" s="13">
        <v>1678</v>
      </c>
      <c r="E15" s="13">
        <v>27</v>
      </c>
      <c r="F15" s="13">
        <v>714</v>
      </c>
      <c r="G15" s="13">
        <v>1136</v>
      </c>
      <c r="H15" s="13">
        <v>1953</v>
      </c>
      <c r="I15" s="13">
        <v>0</v>
      </c>
      <c r="J15" s="13">
        <v>0</v>
      </c>
      <c r="K15" s="13">
        <v>2410</v>
      </c>
      <c r="L15" s="13">
        <v>1500</v>
      </c>
      <c r="M15" s="19">
        <f>-IS!M31</f>
        <v>0</v>
      </c>
      <c r="N15" s="19">
        <f>-IS!N31</f>
        <v>0</v>
      </c>
      <c r="O15" s="19">
        <f>-IS!O31</f>
        <v>0</v>
      </c>
      <c r="P15" s="19">
        <f>-IS!P31</f>
        <v>0</v>
      </c>
      <c r="Q15" s="19">
        <f>-IS!Q31</f>
        <v>0</v>
      </c>
    </row>
    <row r="16" spans="1:17" ht="15" customHeight="1" x14ac:dyDescent="0.2">
      <c r="A16" s="8" t="s">
        <v>339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</row>
    <row r="17" spans="1:17" ht="15" customHeight="1" x14ac:dyDescent="0.2">
      <c r="A17" s="8" t="s">
        <v>340</v>
      </c>
      <c r="B17" s="13">
        <v>-1197</v>
      </c>
      <c r="C17" s="13">
        <v>-3000</v>
      </c>
      <c r="D17" s="13">
        <v>-5000</v>
      </c>
      <c r="E17" s="13">
        <v>2000</v>
      </c>
      <c r="F17" s="13">
        <v>-4000</v>
      </c>
      <c r="G17" s="13">
        <v>5000</v>
      </c>
      <c r="H17" s="13">
        <v>3000</v>
      </c>
      <c r="I17" s="13">
        <v>-2000</v>
      </c>
      <c r="J17" s="13">
        <v>-3000</v>
      </c>
      <c r="K17" s="13">
        <v>-5000</v>
      </c>
      <c r="L17" s="13">
        <v>-5000</v>
      </c>
      <c r="M17" s="19">
        <f>Assumptions!B93</f>
        <v>-5000</v>
      </c>
      <c r="N17" s="19">
        <f>Assumptions!C93</f>
        <v>-5000</v>
      </c>
      <c r="O17" s="19">
        <f>Assumptions!D93</f>
        <v>-5000</v>
      </c>
      <c r="P17" s="19">
        <f>Assumptions!E93</f>
        <v>-5000</v>
      </c>
      <c r="Q17" s="19">
        <f>Assumptions!F93</f>
        <v>-5000</v>
      </c>
    </row>
    <row r="18" spans="1:17" ht="15" customHeight="1" x14ac:dyDescent="0.2">
      <c r="A18" s="3" t="s">
        <v>129</v>
      </c>
      <c r="B18" s="13">
        <v>172220</v>
      </c>
      <c r="C18" s="13">
        <v>133687</v>
      </c>
      <c r="D18" s="13">
        <v>102063</v>
      </c>
      <c r="E18" s="13">
        <v>107304</v>
      </c>
      <c r="F18" s="13">
        <v>160743</v>
      </c>
      <c r="G18" s="13">
        <v>141081</v>
      </c>
      <c r="H18" s="13">
        <v>145000</v>
      </c>
      <c r="I18" s="13">
        <v>150000</v>
      </c>
      <c r="J18" s="13">
        <v>180000</v>
      </c>
      <c r="K18" s="13">
        <v>210000</v>
      </c>
      <c r="L18" s="13">
        <v>230000</v>
      </c>
      <c r="M18" s="14">
        <f>M8+M9+M10+M11+M13+M14+M15+M17</f>
        <v>246999.18530640006</v>
      </c>
      <c r="N18" s="14">
        <f>N8+N9+N10+N11+N13+N14+N15+N17</f>
        <v>265791.45996257965</v>
      </c>
      <c r="O18" s="14">
        <f>O8+O9+O10+O11+O13+O14+O15+O17</f>
        <v>287224.20477178949</v>
      </c>
      <c r="P18" s="14">
        <f>P8+P9+P10+P11+P13+P14+P15+P17</f>
        <v>306693.27891450166</v>
      </c>
      <c r="Q18" s="14">
        <f>Q8+Q9+Q10+Q11+Q13+Q14+Q15+Q17</f>
        <v>323932.91590286844</v>
      </c>
    </row>
    <row r="20" spans="1:17" ht="15" customHeight="1" x14ac:dyDescent="0.2">
      <c r="A20" s="3" t="s">
        <v>341</v>
      </c>
    </row>
    <row r="21" spans="1:17" ht="15" customHeight="1" x14ac:dyDescent="0.2">
      <c r="A21" s="8" t="s">
        <v>342</v>
      </c>
      <c r="B21" s="13">
        <v>200564</v>
      </c>
      <c r="C21" s="13">
        <v>300000</v>
      </c>
      <c r="D21" s="13">
        <v>350000</v>
      </c>
      <c r="E21" s="13">
        <v>280000</v>
      </c>
      <c r="F21" s="13">
        <v>350000</v>
      </c>
      <c r="G21" s="13">
        <v>300000</v>
      </c>
      <c r="H21" s="13">
        <v>350000</v>
      </c>
      <c r="I21" s="13">
        <v>400000</v>
      </c>
      <c r="J21" s="13">
        <v>450000</v>
      </c>
      <c r="K21" s="13">
        <v>400000</v>
      </c>
      <c r="L21" s="13">
        <v>500000</v>
      </c>
      <c r="M21" s="19">
        <f>Assumptions!B38+Assumptions!B42</f>
        <v>550000</v>
      </c>
      <c r="N21" s="19">
        <f>Assumptions!C38+Assumptions!C42</f>
        <v>525000</v>
      </c>
      <c r="O21" s="19">
        <f>Assumptions!D38+Assumptions!D42</f>
        <v>600000</v>
      </c>
      <c r="P21" s="19">
        <f>Assumptions!E38+Assumptions!E42</f>
        <v>450000</v>
      </c>
      <c r="Q21" s="19">
        <f>Assumptions!F38+Assumptions!F42</f>
        <v>550000</v>
      </c>
    </row>
    <row r="22" spans="1:17" ht="15" customHeight="1" x14ac:dyDescent="0.2">
      <c r="A22" s="8" t="s">
        <v>343</v>
      </c>
      <c r="B22" s="13">
        <v>-23666</v>
      </c>
      <c r="C22" s="13">
        <v>-100000</v>
      </c>
      <c r="D22" s="13">
        <v>-200000</v>
      </c>
      <c r="E22" s="13">
        <v>-180000</v>
      </c>
      <c r="F22" s="13">
        <v>-250000</v>
      </c>
      <c r="G22" s="13">
        <v>-200000</v>
      </c>
      <c r="H22" s="13">
        <v>-250000</v>
      </c>
      <c r="I22" s="13">
        <v>-300000</v>
      </c>
      <c r="J22" s="13">
        <v>-350000</v>
      </c>
      <c r="K22" s="13">
        <v>-300000</v>
      </c>
      <c r="L22" s="13">
        <v>-400000</v>
      </c>
      <c r="M22" s="19">
        <f>-Assumptions!B38-Assumptions!B48</f>
        <v>-520000</v>
      </c>
      <c r="N22" s="19">
        <f>-Assumptions!C38-Assumptions!C48</f>
        <v>-470000</v>
      </c>
      <c r="O22" s="19">
        <f>-Assumptions!D38-Assumptions!D48</f>
        <v>-570000</v>
      </c>
      <c r="P22" s="19">
        <f>-Assumptions!E38-Assumptions!E48</f>
        <v>-420000</v>
      </c>
      <c r="Q22" s="19">
        <f>-Assumptions!F38-Assumptions!F48</f>
        <v>-520000</v>
      </c>
    </row>
    <row r="23" spans="1:17" ht="15" customHeight="1" x14ac:dyDescent="0.2">
      <c r="A23" s="8" t="s">
        <v>344</v>
      </c>
      <c r="B23" s="13">
        <v>-49519</v>
      </c>
      <c r="C23" s="13">
        <v>-54878</v>
      </c>
      <c r="D23" s="13">
        <v>-60399</v>
      </c>
      <c r="E23" s="13">
        <v>-63726</v>
      </c>
      <c r="F23" s="13">
        <v>-68203</v>
      </c>
      <c r="G23" s="13">
        <v>-69686</v>
      </c>
      <c r="H23" s="13">
        <v>-72459</v>
      </c>
      <c r="I23" s="13">
        <v>-74588</v>
      </c>
      <c r="J23" s="13">
        <v>-74448</v>
      </c>
      <c r="K23" s="13">
        <v>-75282</v>
      </c>
      <c r="L23" s="13">
        <v>-78641</v>
      </c>
      <c r="M23" s="19">
        <f>-Assumptions!B43</f>
        <v>-80000</v>
      </c>
      <c r="N23" s="19">
        <f>-Assumptions!C43</f>
        <v>-82000</v>
      </c>
      <c r="O23" s="19">
        <f>-Assumptions!D43</f>
        <v>-84000</v>
      </c>
      <c r="P23" s="19">
        <f>-Assumptions!E43</f>
        <v>-86000</v>
      </c>
      <c r="Q23" s="19">
        <f>-Assumptions!F43</f>
        <v>-88000</v>
      </c>
    </row>
    <row r="25" spans="1:17" ht="15" customHeight="1" x14ac:dyDescent="0.2">
      <c r="A25" s="8" t="s">
        <v>345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</row>
    <row r="26" spans="1:17" ht="15" customHeight="1" x14ac:dyDescent="0.2">
      <c r="A26" s="8" t="s">
        <v>346</v>
      </c>
      <c r="B26" s="13">
        <v>-37115</v>
      </c>
      <c r="C26" s="13">
        <v>-32646</v>
      </c>
      <c r="D26" s="13">
        <v>0</v>
      </c>
      <c r="E26" s="13">
        <v>0</v>
      </c>
      <c r="F26" s="13">
        <v>0</v>
      </c>
      <c r="G26" s="13">
        <v>0</v>
      </c>
      <c r="H26" s="13">
        <v>-24049</v>
      </c>
      <c r="I26" s="13">
        <v>-21671</v>
      </c>
      <c r="J26" s="13">
        <v>0</v>
      </c>
      <c r="K26" s="13">
        <v>-10001</v>
      </c>
      <c r="L26" s="13">
        <v>-58321</v>
      </c>
      <c r="M26" s="19">
        <f>-Assumptions!B105</f>
        <v>0</v>
      </c>
      <c r="N26" s="19">
        <f>-Assumptions!C105</f>
        <v>0</v>
      </c>
      <c r="O26" s="19">
        <f>-Assumptions!D105</f>
        <v>0</v>
      </c>
      <c r="P26" s="19">
        <f>-Assumptions!E105</f>
        <v>0</v>
      </c>
      <c r="Q26" s="19">
        <f>-Assumptions!F105</f>
        <v>0</v>
      </c>
    </row>
    <row r="27" spans="1:17" ht="15" customHeight="1" x14ac:dyDescent="0.2">
      <c r="A27" s="8" t="s">
        <v>347</v>
      </c>
      <c r="B27" s="13">
        <v>-163353</v>
      </c>
      <c r="C27" s="13">
        <v>-149537</v>
      </c>
      <c r="D27" s="13">
        <v>-104155</v>
      </c>
      <c r="E27" s="13">
        <v>-51216</v>
      </c>
      <c r="F27" s="13">
        <v>-46456</v>
      </c>
      <c r="G27" s="13">
        <v>-46564</v>
      </c>
      <c r="H27" s="13">
        <v>-46587</v>
      </c>
      <c r="I27" s="13">
        <v>-48631</v>
      </c>
      <c r="J27" s="13">
        <v>-52469</v>
      </c>
      <c r="K27" s="13">
        <v>-67810</v>
      </c>
      <c r="L27" s="13">
        <v>-77219</v>
      </c>
      <c r="M27" s="19">
        <f>-Assumptions!B79*(Assumptions!B77+Assumptions!B78)</f>
        <v>-95940</v>
      </c>
      <c r="N27" s="19">
        <f>-Assumptions!C79*(Assumptions!C77+Assumptions!C78)</f>
        <v>-98605</v>
      </c>
      <c r="O27" s="19">
        <f>-Assumptions!D79*(Assumptions!D77+Assumptions!D78)</f>
        <v>-101270</v>
      </c>
      <c r="P27" s="19">
        <f>-Assumptions!E79*(Assumptions!E77+Assumptions!E78)</f>
        <v>-103935</v>
      </c>
      <c r="Q27" s="19">
        <f>-Assumptions!F79*(Assumptions!F77+Assumptions!F78)</f>
        <v>-106600</v>
      </c>
    </row>
    <row r="28" spans="1:17" ht="15" customHeight="1" x14ac:dyDescent="0.2">
      <c r="A28" s="8" t="s">
        <v>348</v>
      </c>
      <c r="B28" s="13">
        <v>-9025</v>
      </c>
      <c r="C28" s="13">
        <v>-8000</v>
      </c>
      <c r="D28" s="13">
        <v>-5780</v>
      </c>
      <c r="E28" s="13">
        <v>-6519</v>
      </c>
      <c r="F28" s="13">
        <v>-6120</v>
      </c>
      <c r="G28" s="13">
        <v>-6199</v>
      </c>
      <c r="H28" s="13">
        <v>-6906</v>
      </c>
      <c r="I28" s="13">
        <v>-7192</v>
      </c>
      <c r="J28" s="13">
        <v>-7500</v>
      </c>
      <c r="K28" s="13">
        <v>-8000</v>
      </c>
      <c r="L28" s="13">
        <v>-8500</v>
      </c>
      <c r="M28" s="19">
        <f>Assumptions!B102</f>
        <v>-8500</v>
      </c>
      <c r="N28" s="19">
        <f>Assumptions!C102</f>
        <v>-8500</v>
      </c>
      <c r="O28" s="19">
        <f>Assumptions!D102</f>
        <v>-8500</v>
      </c>
      <c r="P28" s="19">
        <f>Assumptions!E102</f>
        <v>-8500</v>
      </c>
      <c r="Q28" s="19">
        <f>Assumptions!F102</f>
        <v>-8500</v>
      </c>
    </row>
    <row r="29" spans="1:17" ht="15" customHeight="1" x14ac:dyDescent="0.2">
      <c r="A29" s="8" t="s">
        <v>349</v>
      </c>
      <c r="B29" s="14">
        <f t="shared" ref="B29:Q29" si="0">B21+B22+B23+B26+B27+B28</f>
        <v>-82114</v>
      </c>
      <c r="C29" s="14">
        <f t="shared" si="0"/>
        <v>-45061</v>
      </c>
      <c r="D29" s="14">
        <f t="shared" si="0"/>
        <v>-20334</v>
      </c>
      <c r="E29" s="14">
        <f t="shared" si="0"/>
        <v>-21461</v>
      </c>
      <c r="F29" s="14">
        <f t="shared" si="0"/>
        <v>-20779</v>
      </c>
      <c r="G29" s="14">
        <f t="shared" si="0"/>
        <v>-22449</v>
      </c>
      <c r="H29" s="14">
        <f t="shared" si="0"/>
        <v>-50001</v>
      </c>
      <c r="I29" s="14">
        <f t="shared" si="0"/>
        <v>-52082</v>
      </c>
      <c r="J29" s="14">
        <f t="shared" si="0"/>
        <v>-34417</v>
      </c>
      <c r="K29" s="14">
        <f t="shared" si="0"/>
        <v>-61093</v>
      </c>
      <c r="L29" s="14">
        <f t="shared" si="0"/>
        <v>-122681</v>
      </c>
      <c r="M29" s="14">
        <f t="shared" si="0"/>
        <v>-154440</v>
      </c>
      <c r="N29" s="14">
        <f t="shared" si="0"/>
        <v>-134105</v>
      </c>
      <c r="O29" s="14">
        <f t="shared" si="0"/>
        <v>-163770</v>
      </c>
      <c r="P29" s="14">
        <f t="shared" si="0"/>
        <v>-168435</v>
      </c>
      <c r="Q29" s="14">
        <f t="shared" si="0"/>
        <v>-173100</v>
      </c>
    </row>
    <row r="31" spans="1:17" ht="15" customHeight="1" x14ac:dyDescent="0.2">
      <c r="A31" s="3" t="s">
        <v>350</v>
      </c>
    </row>
    <row r="32" spans="1:17" ht="15" customHeight="1" x14ac:dyDescent="0.2">
      <c r="A32" s="8" t="s">
        <v>351</v>
      </c>
      <c r="B32" s="13">
        <v>-3290</v>
      </c>
      <c r="C32" s="13">
        <v>-70000</v>
      </c>
      <c r="D32" s="13">
        <v>-5000</v>
      </c>
      <c r="E32" s="13">
        <v>-15000</v>
      </c>
      <c r="F32" s="13">
        <v>-30000</v>
      </c>
      <c r="G32" s="13">
        <v>-50000</v>
      </c>
      <c r="H32" s="13">
        <v>-5000</v>
      </c>
      <c r="I32" s="13">
        <v>-30000</v>
      </c>
      <c r="J32" s="13">
        <v>-10000</v>
      </c>
      <c r="K32" s="13">
        <v>-40000</v>
      </c>
      <c r="L32" s="13">
        <v>-10000</v>
      </c>
      <c r="M32" s="19">
        <f>-Assumptions!B23</f>
        <v>-100000</v>
      </c>
      <c r="N32" s="19">
        <f>-Assumptions!C23</f>
        <v>-150000</v>
      </c>
      <c r="O32" s="19">
        <f>-Assumptions!D23</f>
        <v>-100000</v>
      </c>
      <c r="P32" s="19">
        <f>-Assumptions!E23</f>
        <v>-100000</v>
      </c>
      <c r="Q32" s="19">
        <f>-Assumptions!F23</f>
        <v>-100000</v>
      </c>
    </row>
    <row r="33" spans="1:17" ht="15" customHeight="1" x14ac:dyDescent="0.2">
      <c r="A33" s="8" t="s">
        <v>352</v>
      </c>
      <c r="B33" s="13">
        <v>130170</v>
      </c>
      <c r="C33" s="13">
        <v>0</v>
      </c>
      <c r="D33" s="13">
        <v>5000</v>
      </c>
      <c r="E33" s="13">
        <v>0</v>
      </c>
      <c r="F33" s="13">
        <v>0</v>
      </c>
      <c r="G33" s="13">
        <v>0</v>
      </c>
      <c r="H33" s="13">
        <v>8000</v>
      </c>
      <c r="I33" s="13">
        <v>0</v>
      </c>
      <c r="J33" s="13">
        <v>0</v>
      </c>
      <c r="K33" s="13">
        <v>45000</v>
      </c>
      <c r="L33" s="13">
        <v>35000</v>
      </c>
      <c r="M33" s="19">
        <f>Assumptions!B27</f>
        <v>50000</v>
      </c>
      <c r="N33" s="19">
        <f>Assumptions!C27</f>
        <v>50000</v>
      </c>
      <c r="O33" s="19">
        <f>Assumptions!D27</f>
        <v>50000</v>
      </c>
      <c r="P33" s="19">
        <f>Assumptions!E27</f>
        <v>50000</v>
      </c>
      <c r="Q33" s="19">
        <f>Assumptions!F27</f>
        <v>50000</v>
      </c>
    </row>
    <row r="34" spans="1:17" ht="15" customHeight="1" x14ac:dyDescent="0.2">
      <c r="A34" s="8" t="s">
        <v>353</v>
      </c>
      <c r="B34" s="13">
        <v>-10650</v>
      </c>
      <c r="C34" s="13">
        <v>-6167</v>
      </c>
      <c r="D34" s="13">
        <v>-17888</v>
      </c>
      <c r="E34" s="13">
        <v>-18884</v>
      </c>
      <c r="F34" s="13">
        <v>-30091</v>
      </c>
      <c r="G34" s="13">
        <v>-32906</v>
      </c>
      <c r="H34" s="13">
        <v>-10511</v>
      </c>
      <c r="I34" s="13">
        <v>-17747</v>
      </c>
      <c r="J34" s="13">
        <v>-23325</v>
      </c>
      <c r="K34" s="13">
        <v>-53719</v>
      </c>
      <c r="L34" s="13">
        <v>-41065</v>
      </c>
      <c r="M34" s="19">
        <f>-Assumptions!B75</f>
        <v>-30000</v>
      </c>
      <c r="N34" s="19">
        <f>-Assumptions!C75</f>
        <v>-20000</v>
      </c>
      <c r="O34" s="19">
        <f>-Assumptions!D75</f>
        <v>-15000</v>
      </c>
      <c r="P34" s="19">
        <f>-Assumptions!E75</f>
        <v>-10000</v>
      </c>
      <c r="Q34" s="19">
        <f>-Assumptions!F75</f>
        <v>-5000</v>
      </c>
    </row>
    <row r="35" spans="1:17" ht="15" customHeight="1" x14ac:dyDescent="0.2">
      <c r="A35" s="8" t="s">
        <v>354</v>
      </c>
      <c r="B35" s="13">
        <v>-88660</v>
      </c>
      <c r="C35" s="13">
        <v>-97744</v>
      </c>
      <c r="D35" s="13">
        <v>-190203</v>
      </c>
      <c r="E35" s="13">
        <v>-117914</v>
      </c>
      <c r="F35" s="13">
        <v>-117645</v>
      </c>
      <c r="G35" s="13">
        <v>-108653</v>
      </c>
      <c r="H35" s="13">
        <v>-121492</v>
      </c>
      <c r="I35" s="13">
        <v>-123885</v>
      </c>
      <c r="J35" s="13">
        <v>-119012</v>
      </c>
      <c r="K35" s="13">
        <v>-124395</v>
      </c>
      <c r="L35" s="13">
        <v>-131089</v>
      </c>
      <c r="M35" s="19">
        <f>-Assumptions!B72</f>
        <v>-155099.31111111108</v>
      </c>
      <c r="N35" s="19">
        <f>-Assumptions!C72</f>
        <v>-162528.84</v>
      </c>
      <c r="O35" s="19">
        <f>-Assumptions!D72</f>
        <v>-168800.03555555551</v>
      </c>
      <c r="P35" s="19">
        <f>-Assumptions!E72</f>
        <v>-175149.00888888881</v>
      </c>
      <c r="Q35" s="19">
        <f>-Assumptions!F72</f>
        <v>-181575.75999999989</v>
      </c>
    </row>
    <row r="36" spans="1:17" ht="15" customHeight="1" x14ac:dyDescent="0.2">
      <c r="A36" s="8" t="s">
        <v>355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</row>
    <row r="37" spans="1:17" ht="15" customHeight="1" x14ac:dyDescent="0.2">
      <c r="A37" s="8" t="s">
        <v>356</v>
      </c>
      <c r="B37" s="14">
        <f t="shared" ref="B37:Q37" si="1">B32+B33+B34+B35+B36</f>
        <v>27570</v>
      </c>
      <c r="C37" s="14">
        <f t="shared" si="1"/>
        <v>-173911</v>
      </c>
      <c r="D37" s="14">
        <f t="shared" si="1"/>
        <v>-208091</v>
      </c>
      <c r="E37" s="14">
        <f t="shared" si="1"/>
        <v>-151798</v>
      </c>
      <c r="F37" s="14">
        <f t="shared" si="1"/>
        <v>-177736</v>
      </c>
      <c r="G37" s="14">
        <f t="shared" si="1"/>
        <v>-191559</v>
      </c>
      <c r="H37" s="14">
        <f t="shared" si="1"/>
        <v>-129003</v>
      </c>
      <c r="I37" s="14">
        <f t="shared" si="1"/>
        <v>-171632</v>
      </c>
      <c r="J37" s="14">
        <f t="shared" si="1"/>
        <v>-152337</v>
      </c>
      <c r="K37" s="14">
        <f t="shared" si="1"/>
        <v>-173114</v>
      </c>
      <c r="L37" s="14">
        <f t="shared" si="1"/>
        <v>-147154</v>
      </c>
      <c r="M37" s="14">
        <f t="shared" si="1"/>
        <v>-235099.31111111108</v>
      </c>
      <c r="N37" s="14">
        <f t="shared" si="1"/>
        <v>-282528.83999999997</v>
      </c>
      <c r="O37" s="14">
        <f t="shared" si="1"/>
        <v>-233800.03555555551</v>
      </c>
      <c r="P37" s="14">
        <f t="shared" si="1"/>
        <v>-235149.00888888881</v>
      </c>
      <c r="Q37" s="14">
        <f t="shared" si="1"/>
        <v>-236575.75999999989</v>
      </c>
    </row>
    <row r="39" spans="1:17" ht="15" customHeight="1" x14ac:dyDescent="0.2">
      <c r="A39" s="8" t="s">
        <v>357</v>
      </c>
      <c r="B39" s="14">
        <f t="shared" ref="B39:Q39" si="2">B18+B29+B37</f>
        <v>117676</v>
      </c>
      <c r="C39" s="14">
        <f t="shared" si="2"/>
        <v>-85285</v>
      </c>
      <c r="D39" s="14">
        <f t="shared" si="2"/>
        <v>-126362</v>
      </c>
      <c r="E39" s="14">
        <f t="shared" si="2"/>
        <v>-65955</v>
      </c>
      <c r="F39" s="14">
        <f t="shared" si="2"/>
        <v>-37772</v>
      </c>
      <c r="G39" s="14">
        <f t="shared" si="2"/>
        <v>-72927</v>
      </c>
      <c r="H39" s="14">
        <f t="shared" si="2"/>
        <v>-34004</v>
      </c>
      <c r="I39" s="14">
        <f t="shared" si="2"/>
        <v>-73714</v>
      </c>
      <c r="J39" s="14">
        <f t="shared" si="2"/>
        <v>-6754</v>
      </c>
      <c r="K39" s="14">
        <f t="shared" si="2"/>
        <v>-24207</v>
      </c>
      <c r="L39" s="14">
        <f t="shared" si="2"/>
        <v>-39835</v>
      </c>
      <c r="M39" s="14">
        <f t="shared" si="2"/>
        <v>-142540.12580471102</v>
      </c>
      <c r="N39" s="14">
        <f t="shared" si="2"/>
        <v>-150842.38003742031</v>
      </c>
      <c r="O39" s="14">
        <f t="shared" si="2"/>
        <v>-110345.83078376602</v>
      </c>
      <c r="P39" s="14">
        <f t="shared" si="2"/>
        <v>-96890.729974387155</v>
      </c>
      <c r="Q39" s="14">
        <f t="shared" si="2"/>
        <v>-85742.844097131456</v>
      </c>
    </row>
    <row r="40" spans="1:17" ht="15" customHeight="1" x14ac:dyDescent="0.2">
      <c r="A40" s="8" t="s">
        <v>358</v>
      </c>
      <c r="B40" s="13">
        <v>139564</v>
      </c>
      <c r="C40" s="13">
        <v>237016</v>
      </c>
      <c r="D40" s="13">
        <v>99102</v>
      </c>
      <c r="E40" s="13">
        <v>70834</v>
      </c>
      <c r="F40" s="13">
        <v>38086</v>
      </c>
      <c r="G40" s="13">
        <v>35166</v>
      </c>
      <c r="H40" s="13">
        <v>52960</v>
      </c>
      <c r="I40" s="13">
        <v>64300</v>
      </c>
      <c r="J40" s="13">
        <v>52816</v>
      </c>
      <c r="K40" s="13">
        <v>55000</v>
      </c>
      <c r="L40" s="13">
        <v>58000</v>
      </c>
      <c r="M40" s="13">
        <v>45000</v>
      </c>
      <c r="N40" s="14">
        <f>M41</f>
        <v>-97540.125804711017</v>
      </c>
      <c r="O40" s="14">
        <f>N41</f>
        <v>-248382.50584213133</v>
      </c>
      <c r="P40" s="14">
        <f>O41</f>
        <v>-358728.33662589733</v>
      </c>
      <c r="Q40" s="14">
        <f>P41</f>
        <v>-455619.06660028448</v>
      </c>
    </row>
    <row r="41" spans="1:17" ht="15" customHeight="1" x14ac:dyDescent="0.2">
      <c r="A41" s="8" t="s">
        <v>359</v>
      </c>
      <c r="B41" s="14">
        <f t="shared" ref="B41:Q41" si="3">B40+B39</f>
        <v>257240</v>
      </c>
      <c r="C41" s="14">
        <f t="shared" si="3"/>
        <v>151731</v>
      </c>
      <c r="D41" s="14">
        <f t="shared" si="3"/>
        <v>-27260</v>
      </c>
      <c r="E41" s="14">
        <f t="shared" si="3"/>
        <v>4879</v>
      </c>
      <c r="F41" s="14">
        <f t="shared" si="3"/>
        <v>314</v>
      </c>
      <c r="G41" s="14">
        <f t="shared" si="3"/>
        <v>-37761</v>
      </c>
      <c r="H41" s="14">
        <f t="shared" si="3"/>
        <v>18956</v>
      </c>
      <c r="I41" s="14">
        <f t="shared" si="3"/>
        <v>-9414</v>
      </c>
      <c r="J41" s="14">
        <f t="shared" si="3"/>
        <v>46062</v>
      </c>
      <c r="K41" s="14">
        <f t="shared" si="3"/>
        <v>30793</v>
      </c>
      <c r="L41" s="14">
        <f t="shared" si="3"/>
        <v>18165</v>
      </c>
      <c r="M41" s="14">
        <f t="shared" si="3"/>
        <v>-97540.125804711017</v>
      </c>
      <c r="N41" s="14">
        <f t="shared" si="3"/>
        <v>-248382.50584213133</v>
      </c>
      <c r="O41" s="14">
        <f t="shared" si="3"/>
        <v>-358728.33662589733</v>
      </c>
      <c r="P41" s="14">
        <f t="shared" si="3"/>
        <v>-455619.06660028448</v>
      </c>
      <c r="Q41" s="14">
        <f t="shared" si="3"/>
        <v>-541361.91069741594</v>
      </c>
    </row>
    <row r="44" spans="1:17" ht="15" customHeight="1" x14ac:dyDescent="0.2">
      <c r="A44" s="8" t="s">
        <v>360</v>
      </c>
      <c r="B44" s="13">
        <v>87498</v>
      </c>
      <c r="C44" s="13">
        <v>84256</v>
      </c>
      <c r="D44" s="13">
        <v>79907</v>
      </c>
      <c r="E44" s="13">
        <v>74328</v>
      </c>
      <c r="F44" s="13">
        <v>81673</v>
      </c>
      <c r="G44" s="13">
        <v>85448</v>
      </c>
      <c r="H44" s="13">
        <v>82951</v>
      </c>
      <c r="I44" s="13">
        <v>87639</v>
      </c>
      <c r="J44" s="13">
        <v>103084</v>
      </c>
      <c r="K44" s="13">
        <v>113123</v>
      </c>
      <c r="L44" s="13">
        <v>119641</v>
      </c>
      <c r="M44" s="17">
        <f>Assumptions!B47</f>
        <v>133432.14185393258</v>
      </c>
      <c r="N44" s="17">
        <f>Assumptions!C47</f>
        <v>134032.9521652986</v>
      </c>
      <c r="O44" s="17">
        <f>Assumptions!D47</f>
        <v>132096.25352112678</v>
      </c>
      <c r="P44" s="17">
        <f>Assumptions!E47</f>
        <v>128603.36210926088</v>
      </c>
      <c r="Q44" s="17">
        <f>Assumptions!F47</f>
        <v>124640.47310549776</v>
      </c>
    </row>
    <row r="45" spans="1:17" ht="15" customHeight="1" x14ac:dyDescent="0.2">
      <c r="A45" s="8" t="s">
        <v>361</v>
      </c>
      <c r="B45" s="13">
        <v>143557</v>
      </c>
      <c r="C45" s="13">
        <v>103399</v>
      </c>
      <c r="D45" s="13">
        <v>104169</v>
      </c>
      <c r="E45" s="13">
        <v>46397</v>
      </c>
      <c r="F45" s="13">
        <v>46462</v>
      </c>
      <c r="G45" s="13">
        <v>46571</v>
      </c>
      <c r="H45" s="13">
        <v>46553</v>
      </c>
      <c r="I45" s="13">
        <v>48898</v>
      </c>
      <c r="J45" s="13">
        <v>53169</v>
      </c>
      <c r="K45" s="13">
        <v>68917</v>
      </c>
      <c r="L45" s="13">
        <v>77879</v>
      </c>
      <c r="M45" s="19">
        <f>Assumptions!B79*Assumptions!B83</f>
        <v>95940</v>
      </c>
      <c r="N45" s="19">
        <f>Assumptions!C79*Assumptions!C83</f>
        <v>98605</v>
      </c>
      <c r="O45" s="19">
        <f>Assumptions!D79*Assumptions!D83</f>
        <v>101270</v>
      </c>
      <c r="P45" s="19">
        <f>Assumptions!E79*Assumptions!E83</f>
        <v>103935</v>
      </c>
      <c r="Q45" s="19">
        <f>Assumptions!F79*Assumptions!F83</f>
        <v>106600</v>
      </c>
    </row>
    <row r="46" spans="1:17" ht="15" customHeight="1" x14ac:dyDescent="0.2">
      <c r="A46" s="8" t="s">
        <v>362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363</v>
      </c>
    </row>
    <row r="3" spans="1:17" ht="15" customHeight="1" x14ac:dyDescent="0.2">
      <c r="A3" s="4" t="s">
        <v>364</v>
      </c>
    </row>
    <row r="5" spans="1:17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7" ht="15" customHeight="1" x14ac:dyDescent="0.2">
      <c r="A7" s="3" t="s">
        <v>365</v>
      </c>
    </row>
    <row r="8" spans="1:17" ht="15" customHeight="1" x14ac:dyDescent="0.2">
      <c r="A8" s="8" t="s">
        <v>335</v>
      </c>
      <c r="B8" s="19">
        <f>IS!B36</f>
        <v>28848</v>
      </c>
      <c r="C8" s="19">
        <f>IS!C36</f>
        <v>-92959</v>
      </c>
      <c r="D8" s="19">
        <f>IS!D36</f>
        <v>41080</v>
      </c>
      <c r="E8" s="19">
        <f>IS!E36</f>
        <v>175373</v>
      </c>
      <c r="F8" s="19">
        <f>IS!F36</f>
        <v>48740</v>
      </c>
      <c r="G8" s="19">
        <f>IS!G36</f>
        <v>-140837</v>
      </c>
      <c r="H8" s="19">
        <f>IS!H36</f>
        <v>544802</v>
      </c>
      <c r="I8" s="19">
        <f>IS!I36</f>
        <v>217996</v>
      </c>
      <c r="J8" s="19">
        <f>IS!J36</f>
        <v>407832</v>
      </c>
      <c r="K8" s="19">
        <f>IS!K36</f>
        <v>519272</v>
      </c>
      <c r="L8" s="19">
        <f>IS!L36</f>
        <v>217396</v>
      </c>
      <c r="M8" s="19">
        <f>IS!M36</f>
        <v>1495344.5152079705</v>
      </c>
      <c r="N8" s="19">
        <f>IS!N36</f>
        <v>444428.75156629749</v>
      </c>
      <c r="O8" s="19">
        <f>IS!O36</f>
        <v>1048155.1028650922</v>
      </c>
      <c r="P8" s="19">
        <f>IS!P36</f>
        <v>473905.57757309644</v>
      </c>
      <c r="Q8" s="19">
        <f>IS!Q36</f>
        <v>432151.52476654056</v>
      </c>
    </row>
    <row r="9" spans="1:17" ht="15" customHeight="1" x14ac:dyDescent="0.2">
      <c r="A9" s="8" t="s">
        <v>366</v>
      </c>
      <c r="B9" s="19">
        <f>-1*IS!B28</f>
        <v>194920</v>
      </c>
      <c r="C9" s="19">
        <f>-1*IS!C28</f>
        <v>180843</v>
      </c>
      <c r="D9" s="19">
        <f>-1*IS!D28</f>
        <v>32256</v>
      </c>
      <c r="E9" s="19">
        <f>-1*IS!E28</f>
        <v>-92348</v>
      </c>
      <c r="F9" s="19">
        <f>-1*IS!F28</f>
        <v>102692</v>
      </c>
      <c r="G9" s="19">
        <f>-1*IS!G28</f>
        <v>326536</v>
      </c>
      <c r="H9" s="19">
        <f>-1*IS!H28</f>
        <v>-607185</v>
      </c>
      <c r="I9" s="19">
        <f>-1*IS!I28</f>
        <v>-103342</v>
      </c>
      <c r="J9" s="19">
        <f>-1*IS!J28</f>
        <v>-306889</v>
      </c>
      <c r="K9" s="19">
        <f>-1*IS!K28</f>
        <v>-359888</v>
      </c>
      <c r="L9" s="19">
        <f>-1*IS!L28</f>
        <v>24948</v>
      </c>
      <c r="M9" s="19">
        <f>-1*IS!M28</f>
        <v>-1257845.3299015705</v>
      </c>
      <c r="N9" s="19">
        <f>-1*IS!N28</f>
        <v>-188137.29160371781</v>
      </c>
      <c r="O9" s="19">
        <f>-1*IS!O28</f>
        <v>-770430.89809330273</v>
      </c>
      <c r="P9" s="19">
        <f>-1*IS!P28</f>
        <v>-176712.29865859478</v>
      </c>
      <c r="Q9" s="19">
        <f>-1*IS!Q28</f>
        <v>-117718.60886367213</v>
      </c>
    </row>
    <row r="10" spans="1:17" ht="15" customHeight="1" x14ac:dyDescent="0.2">
      <c r="A10" s="8" t="s">
        <v>367</v>
      </c>
      <c r="B10" s="19">
        <f>-1*IS!B29</f>
        <v>-63053</v>
      </c>
      <c r="C10" s="19">
        <f>-1*IS!C29</f>
        <v>35519</v>
      </c>
      <c r="D10" s="19">
        <f>-1*IS!D29</f>
        <v>20600</v>
      </c>
      <c r="E10" s="19">
        <f>-1*IS!E29</f>
        <v>20250</v>
      </c>
      <c r="F10" s="19">
        <f>-1*IS!F29</f>
        <v>-30485</v>
      </c>
      <c r="G10" s="19">
        <f>-1*IS!G29</f>
        <v>-56290</v>
      </c>
      <c r="H10" s="19">
        <f>-1*IS!H29</f>
        <v>209520</v>
      </c>
      <c r="I10" s="19">
        <f>-1*IS!I29</f>
        <v>33835</v>
      </c>
      <c r="J10" s="19">
        <f>-1*IS!J29</f>
        <v>67700</v>
      </c>
      <c r="K10" s="19">
        <f>-1*IS!K29</f>
        <v>46200</v>
      </c>
      <c r="L10" s="19">
        <f>-1*IS!L29</f>
        <v>-8900</v>
      </c>
      <c r="M10" s="19">
        <f>-1*IS!M29</f>
        <v>0</v>
      </c>
      <c r="N10" s="19">
        <f>-1*IS!N29</f>
        <v>0</v>
      </c>
      <c r="O10" s="19">
        <f>-1*IS!O29</f>
        <v>0</v>
      </c>
      <c r="P10" s="19">
        <f>-1*IS!P29</f>
        <v>0</v>
      </c>
      <c r="Q10" s="19">
        <f>-1*IS!Q29</f>
        <v>0</v>
      </c>
    </row>
    <row r="11" spans="1:17" ht="15" customHeight="1" x14ac:dyDescent="0.2">
      <c r="A11" s="8" t="s">
        <v>368</v>
      </c>
      <c r="B11" s="19">
        <f>-1*IS!B30</f>
        <v>-1506</v>
      </c>
      <c r="C11" s="19">
        <f>-1*IS!C30</f>
        <v>5838</v>
      </c>
      <c r="D11" s="19">
        <f>-1*IS!D30</f>
        <v>-4422</v>
      </c>
      <c r="E11" s="19">
        <f>-1*IS!E30</f>
        <v>-2455</v>
      </c>
      <c r="F11" s="19">
        <f>-1*IS!F30</f>
        <v>2234</v>
      </c>
      <c r="G11" s="19">
        <f>-1*IS!G30</f>
        <v>2785</v>
      </c>
      <c r="H11" s="19">
        <f>-1*IS!H30</f>
        <v>-5480</v>
      </c>
      <c r="I11" s="19">
        <f>-1*IS!I30</f>
        <v>1070</v>
      </c>
      <c r="J11" s="19">
        <f>-1*IS!J30</f>
        <v>4100</v>
      </c>
      <c r="K11" s="19">
        <f>-1*IS!K30</f>
        <v>0</v>
      </c>
      <c r="L11" s="19">
        <f>-1*IS!L30</f>
        <v>0</v>
      </c>
      <c r="M11" s="19">
        <f>-1*IS!M30</f>
        <v>0</v>
      </c>
      <c r="N11" s="19">
        <f>-1*IS!N30</f>
        <v>0</v>
      </c>
      <c r="O11" s="19">
        <f>-1*IS!O30</f>
        <v>0</v>
      </c>
      <c r="P11" s="19">
        <f>-1*IS!P30</f>
        <v>0</v>
      </c>
      <c r="Q11" s="19">
        <f>-1*IS!Q30</f>
        <v>0</v>
      </c>
    </row>
    <row r="12" spans="1:17" ht="15" customHeight="1" x14ac:dyDescent="0.2">
      <c r="A12" s="8" t="s">
        <v>369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</row>
    <row r="14" spans="1:17" ht="15" customHeight="1" x14ac:dyDescent="0.2">
      <c r="A14" s="8" t="s">
        <v>370</v>
      </c>
      <c r="B14" s="13">
        <v>13604</v>
      </c>
      <c r="C14" s="13">
        <v>9990</v>
      </c>
      <c r="D14" s="13">
        <v>9752</v>
      </c>
      <c r="E14" s="13">
        <v>3500</v>
      </c>
      <c r="F14" s="13">
        <v>4475</v>
      </c>
      <c r="G14" s="13">
        <v>4475</v>
      </c>
      <c r="H14" s="13">
        <v>4475</v>
      </c>
      <c r="I14" s="13">
        <v>4475</v>
      </c>
      <c r="J14" s="13">
        <v>4475</v>
      </c>
      <c r="K14" s="13">
        <v>4475</v>
      </c>
      <c r="L14" s="13">
        <v>4200</v>
      </c>
      <c r="M14" s="19">
        <f>Assumptions!B57</f>
        <v>4200</v>
      </c>
      <c r="N14" s="19">
        <f>Assumptions!C57</f>
        <v>4200</v>
      </c>
      <c r="O14" s="19">
        <f>Assumptions!D57</f>
        <v>4200</v>
      </c>
      <c r="P14" s="19">
        <f>Assumptions!E57</f>
        <v>4200</v>
      </c>
      <c r="Q14" s="19">
        <f>Assumptions!F57</f>
        <v>4200</v>
      </c>
    </row>
    <row r="15" spans="1:17" ht="15" customHeight="1" x14ac:dyDescent="0.2">
      <c r="A15" s="8" t="s">
        <v>371</v>
      </c>
      <c r="B15" s="19">
        <f>-1*IS!B31</f>
        <v>6855</v>
      </c>
      <c r="C15" s="19">
        <f>-1*IS!C31</f>
        <v>0</v>
      </c>
      <c r="D15" s="19">
        <f>-1*IS!D31</f>
        <v>1678</v>
      </c>
      <c r="E15" s="19">
        <f>-1*IS!E31</f>
        <v>27</v>
      </c>
      <c r="F15" s="19">
        <f>-1*IS!F31</f>
        <v>714</v>
      </c>
      <c r="G15" s="19">
        <f>-1*IS!G31</f>
        <v>1136</v>
      </c>
      <c r="H15" s="19">
        <f>-1*IS!H31</f>
        <v>1953</v>
      </c>
      <c r="I15" s="19">
        <f>-1*IS!I31</f>
        <v>0</v>
      </c>
      <c r="J15" s="19">
        <f>-1*IS!J31</f>
        <v>0</v>
      </c>
      <c r="K15" s="19">
        <f>-1*IS!K31</f>
        <v>2410</v>
      </c>
      <c r="L15" s="19">
        <f>-1*IS!L31</f>
        <v>1500</v>
      </c>
      <c r="M15" s="19">
        <f>-1*IS!M31</f>
        <v>0</v>
      </c>
      <c r="N15" s="19">
        <f>-1*IS!N31</f>
        <v>0</v>
      </c>
      <c r="O15" s="19">
        <f>-1*IS!O31</f>
        <v>0</v>
      </c>
      <c r="P15" s="19">
        <f>-1*IS!P31</f>
        <v>0</v>
      </c>
      <c r="Q15" s="19">
        <f>-1*IS!Q31</f>
        <v>0</v>
      </c>
    </row>
    <row r="16" spans="1:17" ht="15" customHeight="1" x14ac:dyDescent="0.2">
      <c r="A16" s="8" t="s">
        <v>372</v>
      </c>
      <c r="B16" s="19">
        <f>-IS!B25</f>
        <v>9649</v>
      </c>
      <c r="C16" s="19">
        <f>-IS!C25</f>
        <v>10079</v>
      </c>
      <c r="D16" s="19">
        <f>-IS!D25</f>
        <v>5586</v>
      </c>
      <c r="E16" s="19">
        <f>-IS!E25</f>
        <v>6754</v>
      </c>
      <c r="F16" s="19">
        <f>-IS!F25</f>
        <v>8809</v>
      </c>
      <c r="G16" s="19">
        <f>-IS!G25</f>
        <v>8195</v>
      </c>
      <c r="H16" s="19">
        <f>-IS!H25</f>
        <v>7809</v>
      </c>
      <c r="I16" s="19">
        <f>-IS!I25</f>
        <v>7782</v>
      </c>
      <c r="J16" s="19">
        <f>-IS!J25</f>
        <v>7921</v>
      </c>
      <c r="K16" s="19">
        <f>-IS!K25</f>
        <v>8318</v>
      </c>
      <c r="L16" s="19">
        <f>-IS!L25</f>
        <v>8500</v>
      </c>
      <c r="M16" s="19">
        <f>-IS!M25</f>
        <v>8500</v>
      </c>
      <c r="N16" s="19">
        <f>-IS!N25</f>
        <v>8500</v>
      </c>
      <c r="O16" s="19">
        <f>-IS!O25</f>
        <v>8500</v>
      </c>
      <c r="P16" s="19">
        <f>-IS!P25</f>
        <v>8500</v>
      </c>
      <c r="Q16" s="19">
        <f>-IS!Q25</f>
        <v>8500</v>
      </c>
    </row>
    <row r="18" spans="1:17" ht="15" customHeight="1" x14ac:dyDescent="0.2">
      <c r="A18" s="3" t="s">
        <v>373</v>
      </c>
      <c r="B18" s="14">
        <f t="shared" ref="B18:Q18" si="0">B8+B9+B10+B11+B12+B14+B15+B16</f>
        <v>189317</v>
      </c>
      <c r="C18" s="14">
        <f t="shared" si="0"/>
        <v>149310</v>
      </c>
      <c r="D18" s="14">
        <f t="shared" si="0"/>
        <v>106530</v>
      </c>
      <c r="E18" s="14">
        <f t="shared" si="0"/>
        <v>111101</v>
      </c>
      <c r="F18" s="14">
        <f t="shared" si="0"/>
        <v>137179</v>
      </c>
      <c r="G18" s="14">
        <f t="shared" si="0"/>
        <v>146000</v>
      </c>
      <c r="H18" s="14">
        <f t="shared" si="0"/>
        <v>155894</v>
      </c>
      <c r="I18" s="14">
        <f t="shared" si="0"/>
        <v>161816</v>
      </c>
      <c r="J18" s="14">
        <f t="shared" si="0"/>
        <v>185139</v>
      </c>
      <c r="K18" s="14">
        <f t="shared" si="0"/>
        <v>220787</v>
      </c>
      <c r="L18" s="14">
        <f t="shared" si="0"/>
        <v>247644</v>
      </c>
      <c r="M18" s="14">
        <f t="shared" si="0"/>
        <v>250199.18530640006</v>
      </c>
      <c r="N18" s="14">
        <f t="shared" si="0"/>
        <v>268991.45996257965</v>
      </c>
      <c r="O18" s="14">
        <f t="shared" si="0"/>
        <v>290424.20477178949</v>
      </c>
      <c r="P18" s="14">
        <f t="shared" si="0"/>
        <v>309893.27891450166</v>
      </c>
      <c r="Q18" s="14">
        <f t="shared" si="0"/>
        <v>327132.91590286844</v>
      </c>
    </row>
    <row r="19" spans="1:17" ht="15" customHeight="1" x14ac:dyDescent="0.2">
      <c r="A19" s="8" t="s">
        <v>374</v>
      </c>
      <c r="B19" s="22">
        <f>IF(IS!B43&lt;&gt;0,B18/IS!B43,0)</f>
        <v>3.6468129370292606</v>
      </c>
      <c r="C19" s="22">
        <f>IF(IS!C43&lt;&gt;0,C18/IS!C43,0)</f>
        <v>2.9474120573255953</v>
      </c>
      <c r="D19" s="22">
        <f>IF(IS!D43&lt;&gt;0,D18/IS!D43,0)</f>
        <v>2.0965107354417176</v>
      </c>
      <c r="E19" s="22">
        <f>IF(IS!E43&lt;&gt;0,E18/IS!E43,0)</f>
        <v>2.1866401621759923</v>
      </c>
      <c r="F19" s="22">
        <f>IF(IS!F43&lt;&gt;0,F18/IS!F43,0)</f>
        <v>2.6931639704727499</v>
      </c>
      <c r="G19" s="22">
        <f>IF(IS!G43&lt;&gt;0,G18/IS!G43,0)</f>
        <v>2.8621838855126445</v>
      </c>
      <c r="H19" s="22">
        <f>IF(IS!H43&lt;&gt;0,H18/IS!H43,0)</f>
        <v>3.0563256023683025</v>
      </c>
      <c r="I19" s="22">
        <f>IF(IS!I43&lt;&gt;0,I18/IS!I43,0)</f>
        <v>3.2168260342325508</v>
      </c>
      <c r="J19" s="22">
        <f>IF(IS!J43&lt;&gt;0,J18/IS!J43,0)</f>
        <v>3.6751429252024774</v>
      </c>
      <c r="K19" s="22">
        <f>IF(IS!K43&lt;&gt;0,K18/IS!K43,0)</f>
        <v>4.4078939487711875</v>
      </c>
      <c r="L19" s="22">
        <f>IF(IS!L43&lt;&gt;0,L18/IS!L43,0)</f>
        <v>4.6570633368436889</v>
      </c>
      <c r="M19" s="22">
        <f>IF(IS!M43&lt;&gt;0,M18/IS!M43,0)</f>
        <v>4.6941685798574122</v>
      </c>
      <c r="N19" s="22">
        <f>IF(IS!N43&lt;&gt;0,N18/IS!N43,0)</f>
        <v>5.046744089354215</v>
      </c>
      <c r="O19" s="22">
        <f>IF(IS!O43&lt;&gt;0,O18/IS!O43,0)</f>
        <v>5.4488593765814164</v>
      </c>
      <c r="P19" s="22">
        <f>IF(IS!P43&lt;&gt;0,P18/IS!P43,0)</f>
        <v>5.8141328126548153</v>
      </c>
      <c r="Q19" s="22">
        <f>IF(IS!Q43&lt;&gt;0,Q18/IS!Q43,0)</f>
        <v>6.1375781595284886</v>
      </c>
    </row>
    <row r="20" spans="1:17" ht="15" customHeight="1" x14ac:dyDescent="0.2">
      <c r="A20" s="8" t="s">
        <v>375</v>
      </c>
      <c r="C20" s="9">
        <f t="shared" ref="C20:Q20" si="1">IF(B18&lt;&gt;0,C18/B18-1,0)</f>
        <v>-0.21132280777743151</v>
      </c>
      <c r="D20" s="9">
        <f t="shared" si="1"/>
        <v>-0.28651798272051432</v>
      </c>
      <c r="E20" s="9">
        <f t="shared" si="1"/>
        <v>4.2908101004411892E-2</v>
      </c>
      <c r="F20" s="9">
        <f t="shared" si="1"/>
        <v>0.2347233598257441</v>
      </c>
      <c r="G20" s="9">
        <f t="shared" si="1"/>
        <v>6.4302845187674595E-2</v>
      </c>
      <c r="H20" s="9">
        <f t="shared" si="1"/>
        <v>6.7767123287671316E-2</v>
      </c>
      <c r="I20" s="9">
        <f t="shared" si="1"/>
        <v>3.7987350379103724E-2</v>
      </c>
      <c r="J20" s="9">
        <f t="shared" si="1"/>
        <v>0.14413284224056944</v>
      </c>
      <c r="K20" s="9">
        <f t="shared" si="1"/>
        <v>0.19254722127698654</v>
      </c>
      <c r="L20" s="9">
        <f t="shared" si="1"/>
        <v>0.12164212566863086</v>
      </c>
      <c r="M20" s="9">
        <f t="shared" si="1"/>
        <v>1.0317977848847804E-2</v>
      </c>
      <c r="N20" s="9">
        <f t="shared" si="1"/>
        <v>7.5109255984051826E-2</v>
      </c>
      <c r="O20" s="9">
        <f t="shared" si="1"/>
        <v>7.9678160831542444E-2</v>
      </c>
      <c r="P20" s="9">
        <f t="shared" si="1"/>
        <v>6.7036678840218134E-2</v>
      </c>
      <c r="Q20" s="9">
        <f t="shared" si="1"/>
        <v>5.5630883795718455E-2</v>
      </c>
    </row>
    <row r="22" spans="1:17" ht="15" customHeight="1" x14ac:dyDescent="0.2">
      <c r="A22" s="3" t="s">
        <v>376</v>
      </c>
    </row>
    <row r="23" spans="1:17" ht="15" customHeight="1" x14ac:dyDescent="0.2">
      <c r="A23" s="8" t="s">
        <v>377</v>
      </c>
      <c r="B23" s="14">
        <f t="shared" ref="B23:Q23" si="2">B18</f>
        <v>189317</v>
      </c>
      <c r="C23" s="14">
        <f t="shared" si="2"/>
        <v>149310</v>
      </c>
      <c r="D23" s="14">
        <f t="shared" si="2"/>
        <v>106530</v>
      </c>
      <c r="E23" s="14">
        <f t="shared" si="2"/>
        <v>111101</v>
      </c>
      <c r="F23" s="14">
        <f t="shared" si="2"/>
        <v>137179</v>
      </c>
      <c r="G23" s="14">
        <f t="shared" si="2"/>
        <v>146000</v>
      </c>
      <c r="H23" s="14">
        <f t="shared" si="2"/>
        <v>155894</v>
      </c>
      <c r="I23" s="14">
        <f t="shared" si="2"/>
        <v>161816</v>
      </c>
      <c r="J23" s="14">
        <f t="shared" si="2"/>
        <v>185139</v>
      </c>
      <c r="K23" s="14">
        <f t="shared" si="2"/>
        <v>220787</v>
      </c>
      <c r="L23" s="14">
        <f t="shared" si="2"/>
        <v>247644</v>
      </c>
      <c r="M23" s="14">
        <f t="shared" si="2"/>
        <v>250199.18530640006</v>
      </c>
      <c r="N23" s="14">
        <f t="shared" si="2"/>
        <v>268991.45996257965</v>
      </c>
      <c r="O23" s="14">
        <f t="shared" si="2"/>
        <v>290424.20477178949</v>
      </c>
      <c r="P23" s="14">
        <f t="shared" si="2"/>
        <v>309893.27891450166</v>
      </c>
      <c r="Q23" s="14">
        <f t="shared" si="2"/>
        <v>327132.91590286844</v>
      </c>
    </row>
    <row r="24" spans="1:17" ht="15" customHeight="1" x14ac:dyDescent="0.2">
      <c r="A24" s="8" t="s">
        <v>378</v>
      </c>
      <c r="B24" s="13">
        <v>-17056</v>
      </c>
      <c r="C24" s="13">
        <v>-17534</v>
      </c>
      <c r="D24" s="13">
        <v>-21737</v>
      </c>
      <c r="E24" s="13">
        <v>-23112</v>
      </c>
      <c r="F24" s="13">
        <v>-24060</v>
      </c>
      <c r="G24" s="13">
        <v>-19862</v>
      </c>
      <c r="H24" s="13">
        <v>-32287</v>
      </c>
      <c r="I24" s="13">
        <v>-31263</v>
      </c>
      <c r="J24" s="13">
        <v>-32255</v>
      </c>
      <c r="K24" s="13">
        <v>-33575</v>
      </c>
      <c r="L24" s="13">
        <v>-35000</v>
      </c>
      <c r="M24" s="19">
        <f>-Assumptions!B74</f>
        <v>-36596.466666666667</v>
      </c>
      <c r="N24" s="19">
        <f>-Assumptions!C74</f>
        <v>-37179.799999999996</v>
      </c>
      <c r="O24" s="19">
        <f>-Assumptions!D74</f>
        <v>-39255.82222222221</v>
      </c>
      <c r="P24" s="19">
        <f>-Assumptions!E74</f>
        <v>-39561.377777777758</v>
      </c>
      <c r="Q24" s="19">
        <f>-Assumptions!F74</f>
        <v>-41679.066666666651</v>
      </c>
    </row>
    <row r="28" spans="1:17" ht="15" customHeight="1" x14ac:dyDescent="0.2">
      <c r="A28" s="3" t="s">
        <v>379</v>
      </c>
      <c r="B28" s="14">
        <f t="shared" ref="B28:Q28" si="3">B23+B24</f>
        <v>172261</v>
      </c>
      <c r="C28" s="14">
        <f t="shared" si="3"/>
        <v>131776</v>
      </c>
      <c r="D28" s="14">
        <f t="shared" si="3"/>
        <v>84793</v>
      </c>
      <c r="E28" s="14">
        <f t="shared" si="3"/>
        <v>87989</v>
      </c>
      <c r="F28" s="14">
        <f t="shared" si="3"/>
        <v>113119</v>
      </c>
      <c r="G28" s="14">
        <f t="shared" si="3"/>
        <v>126138</v>
      </c>
      <c r="H28" s="14">
        <f t="shared" si="3"/>
        <v>123607</v>
      </c>
      <c r="I28" s="14">
        <f t="shared" si="3"/>
        <v>130553</v>
      </c>
      <c r="J28" s="14">
        <f t="shared" si="3"/>
        <v>152884</v>
      </c>
      <c r="K28" s="14">
        <f t="shared" si="3"/>
        <v>187212</v>
      </c>
      <c r="L28" s="14">
        <f t="shared" si="3"/>
        <v>212644</v>
      </c>
      <c r="M28" s="14">
        <f t="shared" si="3"/>
        <v>213602.71863973339</v>
      </c>
      <c r="N28" s="14">
        <f t="shared" si="3"/>
        <v>231811.65996257967</v>
      </c>
      <c r="O28" s="14">
        <f t="shared" si="3"/>
        <v>251168.38254956726</v>
      </c>
      <c r="P28" s="14">
        <f t="shared" si="3"/>
        <v>270331.90113672393</v>
      </c>
      <c r="Q28" s="14">
        <f t="shared" si="3"/>
        <v>285453.84923620179</v>
      </c>
    </row>
    <row r="29" spans="1:17" ht="15" customHeight="1" x14ac:dyDescent="0.2">
      <c r="A29" s="8" t="s">
        <v>380</v>
      </c>
      <c r="B29" s="22">
        <f>IF(IS!B43&lt;&gt;0,B28/IS!B43,0)</f>
        <v>3.3182632481266734</v>
      </c>
      <c r="C29" s="22">
        <f>IF(IS!C43&lt;&gt;0,C28/IS!C43,0)</f>
        <v>2.6012870622606497</v>
      </c>
      <c r="D29" s="22">
        <f>IF(IS!D43&lt;&gt;0,D28/IS!D43,0)</f>
        <v>1.6687265069962411</v>
      </c>
      <c r="E29" s="22">
        <f>IF(IS!E43&lt;&gt;0,E28/IS!E43,0)</f>
        <v>1.7317601212383633</v>
      </c>
      <c r="F29" s="22">
        <f>IF(IS!F43&lt;&gt;0,F28/IS!F43,0)</f>
        <v>2.2208065022773678</v>
      </c>
      <c r="G29" s="22">
        <f>IF(IS!G43&lt;&gt;0,G28/IS!G43,0)</f>
        <v>2.4728092530876298</v>
      </c>
      <c r="H29" s="22">
        <f>IF(IS!H43&lt;&gt;0,H28/IS!H43,0)</f>
        <v>2.4233340521889151</v>
      </c>
      <c r="I29" s="22">
        <f>IF(IS!I43&lt;&gt;0,I28/IS!I43,0)</f>
        <v>2.595332286344751</v>
      </c>
      <c r="J29" s="22">
        <f>IF(IS!J43&lt;&gt;0,J28/IS!J43,0)</f>
        <v>3.0348578688264252</v>
      </c>
      <c r="K29" s="22">
        <f>IF(IS!K43&lt;&gt;0,K28/IS!K43,0)</f>
        <v>3.7375870949709515</v>
      </c>
      <c r="L29" s="22">
        <f>IF(IS!L43&lt;&gt;0,L28/IS!L43,0)</f>
        <v>3.9988716714307206</v>
      </c>
      <c r="M29" s="22">
        <f>IF(IS!M43&lt;&gt;0,M28/IS!M43,0)</f>
        <v>4.0075556968055048</v>
      </c>
      <c r="N29" s="22">
        <f>IF(IS!N43&lt;&gt;0,N28/IS!N43,0)</f>
        <v>4.3491868660896751</v>
      </c>
      <c r="O29" s="22">
        <f>IF(IS!O43&lt;&gt;0,O28/IS!O43,0)</f>
        <v>4.7123523930500424</v>
      </c>
      <c r="P29" s="22">
        <f>IF(IS!P43&lt;&gt;0,P28/IS!P43,0)</f>
        <v>5.0718930794882535</v>
      </c>
      <c r="Q29" s="22">
        <f>IF(IS!Q43&lt;&gt;0,Q28/IS!Q43,0)</f>
        <v>5.3556069275084761</v>
      </c>
    </row>
    <row r="30" spans="1:17" ht="15" customHeight="1" x14ac:dyDescent="0.2">
      <c r="A30" s="8" t="s">
        <v>381</v>
      </c>
      <c r="C30" s="9">
        <f t="shared" ref="C30:Q30" si="4">IF(B28&lt;&gt;0,C28/B28-1,0)</f>
        <v>-0.23502127585466237</v>
      </c>
      <c r="D30" s="9">
        <f t="shared" si="4"/>
        <v>-0.35653685041282179</v>
      </c>
      <c r="E30" s="9">
        <f t="shared" si="4"/>
        <v>3.7691790595921759E-2</v>
      </c>
      <c r="F30" s="9">
        <f t="shared" si="4"/>
        <v>0.28560388230346967</v>
      </c>
      <c r="G30" s="9">
        <f t="shared" si="4"/>
        <v>0.11509118715688782</v>
      </c>
      <c r="H30" s="9">
        <f t="shared" si="4"/>
        <v>-2.0065325278663004E-2</v>
      </c>
      <c r="I30" s="9">
        <f t="shared" si="4"/>
        <v>5.6194228482205677E-2</v>
      </c>
      <c r="J30" s="9">
        <f t="shared" si="4"/>
        <v>0.17104930564598275</v>
      </c>
      <c r="K30" s="9">
        <f t="shared" si="4"/>
        <v>0.22453624970565911</v>
      </c>
      <c r="L30" s="9">
        <f t="shared" si="4"/>
        <v>0.13584599277824072</v>
      </c>
      <c r="M30" s="9">
        <f t="shared" si="4"/>
        <v>4.508561914436271E-3</v>
      </c>
      <c r="N30" s="9">
        <f t="shared" si="4"/>
        <v>8.5246767638561094E-2</v>
      </c>
      <c r="O30" s="9">
        <f t="shared" si="4"/>
        <v>8.3501936831444468E-2</v>
      </c>
      <c r="P30" s="9">
        <f t="shared" si="4"/>
        <v>7.6297495698427698E-2</v>
      </c>
      <c r="Q30" s="9">
        <f t="shared" si="4"/>
        <v>5.5938452087568313E-2</v>
      </c>
    </row>
    <row r="32" spans="1:17" ht="15" customHeight="1" x14ac:dyDescent="0.2">
      <c r="A32" s="3" t="s">
        <v>382</v>
      </c>
    </row>
    <row r="33" spans="1:17" ht="15" customHeight="1" x14ac:dyDescent="0.2">
      <c r="A33" s="8" t="s">
        <v>383</v>
      </c>
      <c r="B33" s="12">
        <v>2.04</v>
      </c>
      <c r="C33" s="12">
        <v>2.25</v>
      </c>
      <c r="D33" s="12">
        <v>2.25</v>
      </c>
      <c r="E33" s="12">
        <v>1</v>
      </c>
      <c r="F33" s="12">
        <v>1</v>
      </c>
      <c r="G33" s="12">
        <v>1</v>
      </c>
      <c r="H33" s="12">
        <v>1</v>
      </c>
      <c r="I33" s="12">
        <v>1.07</v>
      </c>
      <c r="J33" s="12">
        <v>1.17</v>
      </c>
      <c r="K33" s="12">
        <v>1.5</v>
      </c>
      <c r="L33" s="12">
        <v>1.6</v>
      </c>
      <c r="M33" s="22">
        <f>Assumptions!B79</f>
        <v>1.8</v>
      </c>
      <c r="N33" s="22">
        <f>Assumptions!C79</f>
        <v>1.85</v>
      </c>
      <c r="O33" s="22">
        <f>Assumptions!D79</f>
        <v>1.9</v>
      </c>
      <c r="P33" s="22">
        <f>Assumptions!E79</f>
        <v>1.95</v>
      </c>
      <c r="Q33" s="22">
        <f>Assumptions!F79</f>
        <v>2</v>
      </c>
    </row>
    <row r="34" spans="1:17" ht="15" customHeight="1" x14ac:dyDescent="0.2">
      <c r="A34" s="8" t="s">
        <v>384</v>
      </c>
      <c r="B34" s="19">
        <f>CFS!B45</f>
        <v>143557</v>
      </c>
      <c r="C34" s="19">
        <f>CFS!C45</f>
        <v>103399</v>
      </c>
      <c r="D34" s="19">
        <f>CFS!D45</f>
        <v>104169</v>
      </c>
      <c r="E34" s="19">
        <f>CFS!E45</f>
        <v>46397</v>
      </c>
      <c r="F34" s="19">
        <f>CFS!F45</f>
        <v>46462</v>
      </c>
      <c r="G34" s="19">
        <f>CFS!G45</f>
        <v>46571</v>
      </c>
      <c r="H34" s="19">
        <f>CFS!H45</f>
        <v>46553</v>
      </c>
      <c r="I34" s="19">
        <f>CFS!I45</f>
        <v>48898</v>
      </c>
      <c r="J34" s="19">
        <f>CFS!J45</f>
        <v>53169</v>
      </c>
      <c r="K34" s="19">
        <f>CFS!K45</f>
        <v>68917</v>
      </c>
      <c r="L34" s="19">
        <f>CFS!L45</f>
        <v>77879</v>
      </c>
      <c r="M34" s="19">
        <f>CFS!M45</f>
        <v>95940</v>
      </c>
      <c r="N34" s="19">
        <f>CFS!N45</f>
        <v>98605</v>
      </c>
      <c r="O34" s="19">
        <f>CFS!O45</f>
        <v>101270</v>
      </c>
      <c r="P34" s="19">
        <f>CFS!P45</f>
        <v>103935</v>
      </c>
      <c r="Q34" s="19">
        <f>CFS!Q45</f>
        <v>106600</v>
      </c>
    </row>
    <row r="35" spans="1:17" ht="15" customHeight="1" x14ac:dyDescent="0.2">
      <c r="A35" s="8" t="s">
        <v>385</v>
      </c>
      <c r="B35" s="9">
        <f t="shared" ref="B35:Q35" si="5">IF(B28&lt;&gt;0,B34/B28,0)</f>
        <v>0.83336913172453431</v>
      </c>
      <c r="C35" s="9">
        <f t="shared" si="5"/>
        <v>0.78465729723166588</v>
      </c>
      <c r="D35" s="9">
        <f t="shared" si="5"/>
        <v>1.2285094288443621</v>
      </c>
      <c r="E35" s="9">
        <f t="shared" si="5"/>
        <v>0.52730454943231542</v>
      </c>
      <c r="F35" s="9">
        <f t="shared" si="5"/>
        <v>0.4107355970261406</v>
      </c>
      <c r="G35" s="9">
        <f t="shared" si="5"/>
        <v>0.36920674182244845</v>
      </c>
      <c r="H35" s="9">
        <f t="shared" si="5"/>
        <v>0.37662106515003196</v>
      </c>
      <c r="I35" s="9">
        <f t="shared" si="5"/>
        <v>0.37454520386356499</v>
      </c>
      <c r="J35" s="9">
        <f t="shared" si="5"/>
        <v>0.34777347531461761</v>
      </c>
      <c r="K35" s="9">
        <f t="shared" si="5"/>
        <v>0.36812276990791187</v>
      </c>
      <c r="L35" s="9">
        <f t="shared" si="5"/>
        <v>0.3662412294727338</v>
      </c>
      <c r="M35" s="9">
        <f t="shared" si="5"/>
        <v>0.44915158669780003</v>
      </c>
      <c r="N35" s="9">
        <f t="shared" si="5"/>
        <v>0.42536686901736248</v>
      </c>
      <c r="O35" s="9">
        <f t="shared" si="5"/>
        <v>0.40319565294017329</v>
      </c>
      <c r="P35" s="9">
        <f t="shared" si="5"/>
        <v>0.38447182727218532</v>
      </c>
      <c r="Q35" s="9">
        <f t="shared" si="5"/>
        <v>0.37344040126007449</v>
      </c>
    </row>
    <row r="36" spans="1:17" ht="15" customHeight="1" x14ac:dyDescent="0.2">
      <c r="A36" s="8" t="s">
        <v>386</v>
      </c>
      <c r="B36" s="27">
        <f t="shared" ref="B36:Q36" si="6">IF(B34&lt;&gt;0,B28/B34,0)</f>
        <v>1.1999484525310504</v>
      </c>
      <c r="C36" s="27">
        <f t="shared" si="6"/>
        <v>1.2744417257420284</v>
      </c>
      <c r="D36" s="27">
        <f t="shared" si="6"/>
        <v>0.81399456652170987</v>
      </c>
      <c r="E36" s="27">
        <f t="shared" si="6"/>
        <v>1.896437269651055</v>
      </c>
      <c r="F36" s="27">
        <f t="shared" si="6"/>
        <v>2.4346562782488914</v>
      </c>
      <c r="G36" s="27">
        <f t="shared" si="6"/>
        <v>2.7085095875115415</v>
      </c>
      <c r="H36" s="27">
        <f t="shared" si="6"/>
        <v>2.6551887096427729</v>
      </c>
      <c r="I36" s="27">
        <f t="shared" si="6"/>
        <v>2.6699046995787148</v>
      </c>
      <c r="J36" s="27">
        <f t="shared" si="6"/>
        <v>2.8754349338900487</v>
      </c>
      <c r="K36" s="27">
        <f t="shared" si="6"/>
        <v>2.7164850472307269</v>
      </c>
      <c r="L36" s="27">
        <f t="shared" si="6"/>
        <v>2.7304408120289168</v>
      </c>
      <c r="M36" s="27">
        <f t="shared" si="6"/>
        <v>2.2264198315586134</v>
      </c>
      <c r="N36" s="27">
        <f t="shared" si="6"/>
        <v>2.3509118195079322</v>
      </c>
      <c r="O36" s="27">
        <f t="shared" si="6"/>
        <v>2.4801854700263379</v>
      </c>
      <c r="P36" s="27">
        <f t="shared" si="6"/>
        <v>2.6009708099939761</v>
      </c>
      <c r="Q36" s="27">
        <f t="shared" si="6"/>
        <v>2.6778034637542381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2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387</v>
      </c>
    </row>
    <row r="3" spans="1:17" ht="15" customHeight="1" x14ac:dyDescent="0.2">
      <c r="A3" s="4" t="s">
        <v>388</v>
      </c>
    </row>
    <row r="5" spans="1:17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7" ht="15" customHeight="1" x14ac:dyDescent="0.2">
      <c r="A7" s="3" t="s">
        <v>389</v>
      </c>
    </row>
    <row r="8" spans="1:17" ht="15" customHeight="1" x14ac:dyDescent="0.2">
      <c r="A8" s="8" t="s">
        <v>390</v>
      </c>
      <c r="B8" s="19">
        <f>CFS!B18</f>
        <v>172220</v>
      </c>
      <c r="C8" s="19">
        <f>CFS!C18</f>
        <v>133687</v>
      </c>
      <c r="D8" s="19">
        <f>CFS!D18</f>
        <v>102063</v>
      </c>
      <c r="E8" s="19">
        <f>CFS!E18</f>
        <v>107304</v>
      </c>
      <c r="F8" s="19">
        <f>CFS!F18</f>
        <v>160743</v>
      </c>
      <c r="G8" s="19">
        <f>CFS!G18</f>
        <v>141081</v>
      </c>
      <c r="H8" s="19">
        <f>CFS!H18</f>
        <v>145000</v>
      </c>
      <c r="I8" s="19">
        <f>CFS!I18</f>
        <v>150000</v>
      </c>
      <c r="J8" s="19">
        <f>CFS!J18</f>
        <v>180000</v>
      </c>
      <c r="K8" s="19">
        <f>CFS!K18</f>
        <v>210000</v>
      </c>
      <c r="L8" s="19">
        <f>CFS!L18</f>
        <v>230000</v>
      </c>
      <c r="M8" s="19">
        <f>CFS!M18</f>
        <v>246999.18530640006</v>
      </c>
      <c r="N8" s="19">
        <f>CFS!N18</f>
        <v>265791.45996257965</v>
      </c>
      <c r="O8" s="19">
        <f>CFS!O18</f>
        <v>287224.20477178949</v>
      </c>
      <c r="P8" s="19">
        <f>CFS!P18</f>
        <v>306693.27891450166</v>
      </c>
      <c r="Q8" s="19">
        <f>CFS!Q18</f>
        <v>323932.91590286844</v>
      </c>
    </row>
    <row r="9" spans="1:17" ht="15" customHeight="1" x14ac:dyDescent="0.2">
      <c r="A9" s="8" t="s">
        <v>391</v>
      </c>
      <c r="B9" s="19">
        <f>CFS!B35</f>
        <v>-88660</v>
      </c>
      <c r="C9" s="19">
        <f>CFS!C35</f>
        <v>-97744</v>
      </c>
      <c r="D9" s="19">
        <f>CFS!D35</f>
        <v>-190203</v>
      </c>
      <c r="E9" s="19">
        <f>CFS!E35</f>
        <v>-117914</v>
      </c>
      <c r="F9" s="19">
        <f>CFS!F35</f>
        <v>-117645</v>
      </c>
      <c r="G9" s="19">
        <f>CFS!G35</f>
        <v>-108653</v>
      </c>
      <c r="H9" s="19">
        <f>CFS!H35</f>
        <v>-121492</v>
      </c>
      <c r="I9" s="19">
        <f>CFS!I35</f>
        <v>-123885</v>
      </c>
      <c r="J9" s="19">
        <f>CFS!J35</f>
        <v>-119012</v>
      </c>
      <c r="K9" s="19">
        <f>CFS!K35</f>
        <v>-124395</v>
      </c>
      <c r="L9" s="19">
        <f>CFS!L35</f>
        <v>-131089</v>
      </c>
      <c r="M9" s="19">
        <f>CFS!M35</f>
        <v>-155099.31111111108</v>
      </c>
      <c r="N9" s="19">
        <f>CFS!N35</f>
        <v>-162528.84</v>
      </c>
      <c r="O9" s="19">
        <f>CFS!O35</f>
        <v>-168800.03555555551</v>
      </c>
      <c r="P9" s="19">
        <f>CFS!P35</f>
        <v>-175149.00888888881</v>
      </c>
      <c r="Q9" s="19">
        <f>CFS!Q35</f>
        <v>-181575.75999999989</v>
      </c>
    </row>
    <row r="10" spans="1:17" ht="15" customHeight="1" x14ac:dyDescent="0.2">
      <c r="A10" s="3" t="s">
        <v>392</v>
      </c>
      <c r="B10" s="14">
        <f t="shared" ref="B10:Q10" si="0">B8+B9</f>
        <v>83560</v>
      </c>
      <c r="C10" s="14">
        <f t="shared" si="0"/>
        <v>35943</v>
      </c>
      <c r="D10" s="14">
        <f t="shared" si="0"/>
        <v>-88140</v>
      </c>
      <c r="E10" s="14">
        <f t="shared" si="0"/>
        <v>-10610</v>
      </c>
      <c r="F10" s="14">
        <f t="shared" si="0"/>
        <v>43098</v>
      </c>
      <c r="G10" s="14">
        <f t="shared" si="0"/>
        <v>32428</v>
      </c>
      <c r="H10" s="14">
        <f t="shared" si="0"/>
        <v>23508</v>
      </c>
      <c r="I10" s="14">
        <f t="shared" si="0"/>
        <v>26115</v>
      </c>
      <c r="J10" s="14">
        <f t="shared" si="0"/>
        <v>60988</v>
      </c>
      <c r="K10" s="14">
        <f t="shared" si="0"/>
        <v>85605</v>
      </c>
      <c r="L10" s="14">
        <f t="shared" si="0"/>
        <v>98911</v>
      </c>
      <c r="M10" s="14">
        <f t="shared" si="0"/>
        <v>91899.874195288983</v>
      </c>
      <c r="N10" s="14">
        <f t="shared" si="0"/>
        <v>103262.61996257966</v>
      </c>
      <c r="O10" s="14">
        <f t="shared" si="0"/>
        <v>118424.16921623398</v>
      </c>
      <c r="P10" s="14">
        <f t="shared" si="0"/>
        <v>131544.27002561284</v>
      </c>
      <c r="Q10" s="14">
        <f t="shared" si="0"/>
        <v>142357.15590286854</v>
      </c>
    </row>
    <row r="11" spans="1:17" ht="15" customHeight="1" x14ac:dyDescent="0.2">
      <c r="A11" s="8" t="s">
        <v>393</v>
      </c>
      <c r="B11" s="22">
        <f>IF(IS!B43&lt;&gt;0,B10/IS!B43,0)</f>
        <v>1.6096160884556854</v>
      </c>
      <c r="C11" s="22">
        <f>IF(IS!C43&lt;&gt;0,C10/IS!C43,0)</f>
        <v>0.70952268151131115</v>
      </c>
      <c r="D11" s="22">
        <f>IF(IS!D43&lt;&gt;0,D10/IS!D43,0)</f>
        <v>-1.7345954775352763</v>
      </c>
      <c r="E11" s="22">
        <f>IF(IS!E43&lt;&gt;0,E10/IS!E43,0)</f>
        <v>-0.20882127182192131</v>
      </c>
      <c r="F11" s="22">
        <f>IF(IS!F43&lt;&gt;0,F10/IS!F43,0)</f>
        <v>0.84612062195696558</v>
      </c>
      <c r="G11" s="22">
        <f>IF(IS!G43&lt;&gt;0,G10/IS!G43,0)</f>
        <v>0.63571848657126051</v>
      </c>
      <c r="H11" s="22">
        <f>IF(IS!H43&lt;&gt;0,H10/IS!H43,0)</f>
        <v>0.46087791871703881</v>
      </c>
      <c r="I11" s="22">
        <f>IF(IS!I43&lt;&gt;0,I10/IS!I43,0)</f>
        <v>0.51915392720116094</v>
      </c>
      <c r="J11" s="22">
        <f>IF(IS!J43&lt;&gt;0,J10/IS!J43,0)</f>
        <v>1.2106558678735906</v>
      </c>
      <c r="K11" s="22">
        <f>IF(IS!K43&lt;&gt;0,K10/IS!K43,0)</f>
        <v>1.7090578769789775</v>
      </c>
      <c r="L11" s="22">
        <f>IF(IS!L43&lt;&gt;0,L10/IS!L43,0)</f>
        <v>1.8600684519332029</v>
      </c>
      <c r="M11" s="22">
        <f>IF(IS!M43&lt;&gt;0,M10/IS!M43,0)</f>
        <v>1.7242002663281235</v>
      </c>
      <c r="N11" s="22">
        <f>IF(IS!N43&lt;&gt;0,N10/IS!N43,0)</f>
        <v>1.9373849899170668</v>
      </c>
      <c r="O11" s="22">
        <f>IF(IS!O43&lt;&gt;0,O10/IS!O43,0)</f>
        <v>2.2218418239443523</v>
      </c>
      <c r="P11" s="22">
        <f>IF(IS!P43&lt;&gt;0,P10/IS!P43,0)</f>
        <v>2.4679975614561509</v>
      </c>
      <c r="Q11" s="22">
        <f>IF(IS!Q43&lt;&gt;0,Q10/IS!Q43,0)</f>
        <v>2.6708659644065391</v>
      </c>
    </row>
    <row r="14" spans="1:17" ht="15" customHeight="1" x14ac:dyDescent="0.2">
      <c r="A14" s="3" t="s">
        <v>394</v>
      </c>
    </row>
    <row r="15" spans="1:17" ht="15" customHeight="1" x14ac:dyDescent="0.2">
      <c r="A15" s="8" t="s">
        <v>395</v>
      </c>
      <c r="B15" s="19">
        <f>FFO_AFFO!B34</f>
        <v>143557</v>
      </c>
      <c r="C15" s="19">
        <f>FFO_AFFO!C34</f>
        <v>103399</v>
      </c>
      <c r="D15" s="19">
        <f>FFO_AFFO!D34</f>
        <v>104169</v>
      </c>
      <c r="E15" s="19">
        <f>FFO_AFFO!E34</f>
        <v>46397</v>
      </c>
      <c r="F15" s="19">
        <f>FFO_AFFO!F34</f>
        <v>46462</v>
      </c>
      <c r="G15" s="19">
        <f>FFO_AFFO!G34</f>
        <v>46571</v>
      </c>
      <c r="H15" s="19">
        <f>FFO_AFFO!H34</f>
        <v>46553</v>
      </c>
      <c r="I15" s="19">
        <f>FFO_AFFO!I34</f>
        <v>48898</v>
      </c>
      <c r="J15" s="19">
        <f>FFO_AFFO!J34</f>
        <v>53169</v>
      </c>
      <c r="K15" s="19">
        <f>FFO_AFFO!K34</f>
        <v>68917</v>
      </c>
      <c r="L15" s="19">
        <f>FFO_AFFO!L34</f>
        <v>77879</v>
      </c>
      <c r="M15" s="19">
        <f>FFO_AFFO!M34</f>
        <v>95940</v>
      </c>
      <c r="N15" s="19">
        <f>FFO_AFFO!N34</f>
        <v>98605</v>
      </c>
      <c r="O15" s="19">
        <f>FFO_AFFO!O34</f>
        <v>101270</v>
      </c>
      <c r="P15" s="19">
        <f>FFO_AFFO!P34</f>
        <v>103935</v>
      </c>
      <c r="Q15" s="19">
        <f>FFO_AFFO!Q34</f>
        <v>106600</v>
      </c>
    </row>
    <row r="16" spans="1:17" ht="15" customHeight="1" x14ac:dyDescent="0.2">
      <c r="A16" s="8" t="s">
        <v>396</v>
      </c>
      <c r="B16" s="22">
        <f>FFO_AFFO!B33</f>
        <v>2.04</v>
      </c>
      <c r="C16" s="22">
        <f>FFO_AFFO!C33</f>
        <v>2.25</v>
      </c>
      <c r="D16" s="22">
        <f>FFO_AFFO!D33</f>
        <v>2.25</v>
      </c>
      <c r="E16" s="22">
        <f>FFO_AFFO!E33</f>
        <v>1</v>
      </c>
      <c r="F16" s="22">
        <f>FFO_AFFO!F33</f>
        <v>1</v>
      </c>
      <c r="G16" s="22">
        <f>FFO_AFFO!G33</f>
        <v>1</v>
      </c>
      <c r="H16" s="22">
        <f>FFO_AFFO!H33</f>
        <v>1</v>
      </c>
      <c r="I16" s="22">
        <f>FFO_AFFO!I33</f>
        <v>1.07</v>
      </c>
      <c r="J16" s="22">
        <f>FFO_AFFO!J33</f>
        <v>1.17</v>
      </c>
      <c r="K16" s="22">
        <f>FFO_AFFO!K33</f>
        <v>1.5</v>
      </c>
      <c r="L16" s="22">
        <f>FFO_AFFO!L33</f>
        <v>1.6</v>
      </c>
      <c r="M16" s="22">
        <f>FFO_AFFO!M33</f>
        <v>1.8</v>
      </c>
      <c r="N16" s="22">
        <f>FFO_AFFO!N33</f>
        <v>1.85</v>
      </c>
      <c r="O16" s="22">
        <f>FFO_AFFO!O33</f>
        <v>1.9</v>
      </c>
      <c r="P16" s="22">
        <f>FFO_AFFO!P33</f>
        <v>1.95</v>
      </c>
      <c r="Q16" s="22">
        <f>FFO_AFFO!Q33</f>
        <v>2</v>
      </c>
    </row>
    <row r="17" spans="1:17" ht="15" customHeight="1" x14ac:dyDescent="0.2">
      <c r="A17" s="8" t="s">
        <v>397</v>
      </c>
      <c r="B17" s="9">
        <f t="shared" ref="B17:Q17" si="1">IF(B10&lt;&gt;0,B15/B10,0)</f>
        <v>1.7180110100526569</v>
      </c>
      <c r="C17" s="9">
        <f t="shared" si="1"/>
        <v>2.8767492974988174</v>
      </c>
      <c r="D17" s="9">
        <f t="shared" si="1"/>
        <v>-1.1818584070796461</v>
      </c>
      <c r="E17" s="9">
        <f t="shared" si="1"/>
        <v>-4.3729500471253537</v>
      </c>
      <c r="F17" s="9">
        <f t="shared" si="1"/>
        <v>1.0780546661097963</v>
      </c>
      <c r="G17" s="9">
        <f t="shared" si="1"/>
        <v>1.4361354385099296</v>
      </c>
      <c r="H17" s="9">
        <f t="shared" si="1"/>
        <v>1.9803045771652203</v>
      </c>
      <c r="I17" s="9">
        <f t="shared" si="1"/>
        <v>1.8724104920543749</v>
      </c>
      <c r="J17" s="9">
        <f t="shared" si="1"/>
        <v>0.87179445136748213</v>
      </c>
      <c r="K17" s="9">
        <f t="shared" si="1"/>
        <v>0.80505811576426611</v>
      </c>
      <c r="L17" s="9">
        <f t="shared" si="1"/>
        <v>0.7873643982974593</v>
      </c>
      <c r="M17" s="9">
        <f t="shared" si="1"/>
        <v>1.0439622560976054</v>
      </c>
      <c r="N17" s="9">
        <f t="shared" si="1"/>
        <v>0.9548953923087804</v>
      </c>
      <c r="O17" s="9">
        <f t="shared" si="1"/>
        <v>0.85514638329518955</v>
      </c>
      <c r="P17" s="9">
        <f t="shared" si="1"/>
        <v>0.79011423287204319</v>
      </c>
      <c r="Q17" s="9">
        <f t="shared" si="1"/>
        <v>0.74882080443314036</v>
      </c>
    </row>
    <row r="18" spans="1:17" ht="15" customHeight="1" x14ac:dyDescent="0.2">
      <c r="A18" s="8" t="s">
        <v>398</v>
      </c>
      <c r="B18" s="14">
        <f t="shared" ref="B18:Q18" si="2">B10-B15</f>
        <v>-59997</v>
      </c>
      <c r="C18" s="14">
        <f t="shared" si="2"/>
        <v>-67456</v>
      </c>
      <c r="D18" s="14">
        <f t="shared" si="2"/>
        <v>-192309</v>
      </c>
      <c r="E18" s="14">
        <f t="shared" si="2"/>
        <v>-57007</v>
      </c>
      <c r="F18" s="14">
        <f t="shared" si="2"/>
        <v>-3364</v>
      </c>
      <c r="G18" s="14">
        <f t="shared" si="2"/>
        <v>-14143</v>
      </c>
      <c r="H18" s="14">
        <f t="shared" si="2"/>
        <v>-23045</v>
      </c>
      <c r="I18" s="14">
        <f t="shared" si="2"/>
        <v>-22783</v>
      </c>
      <c r="J18" s="14">
        <f t="shared" si="2"/>
        <v>7819</v>
      </c>
      <c r="K18" s="14">
        <f t="shared" si="2"/>
        <v>16688</v>
      </c>
      <c r="L18" s="14">
        <f t="shared" si="2"/>
        <v>21032</v>
      </c>
      <c r="M18" s="14">
        <f t="shared" si="2"/>
        <v>-4040.1258047110168</v>
      </c>
      <c r="N18" s="14">
        <f t="shared" si="2"/>
        <v>4657.619962579658</v>
      </c>
      <c r="O18" s="14">
        <f t="shared" si="2"/>
        <v>17154.169216233975</v>
      </c>
      <c r="P18" s="14">
        <f t="shared" si="2"/>
        <v>27609.270025612845</v>
      </c>
      <c r="Q18" s="14">
        <f t="shared" si="2"/>
        <v>35757.155902868544</v>
      </c>
    </row>
    <row r="21" spans="1:17" ht="15" customHeight="1" x14ac:dyDescent="0.2">
      <c r="A21" s="3" t="s">
        <v>399</v>
      </c>
    </row>
    <row r="23" spans="1:17" ht="15" customHeight="1" x14ac:dyDescent="0.2">
      <c r="A23" s="8" t="s">
        <v>177</v>
      </c>
      <c r="B23" s="22">
        <f>FFO_AFFO!B19</f>
        <v>3.6468129370292606</v>
      </c>
      <c r="C23" s="22">
        <f>FFO_AFFO!C19</f>
        <v>2.9474120573255953</v>
      </c>
      <c r="D23" s="22">
        <f>FFO_AFFO!D19</f>
        <v>2.0965107354417176</v>
      </c>
      <c r="E23" s="22">
        <f>FFO_AFFO!E19</f>
        <v>2.1866401621759923</v>
      </c>
      <c r="F23" s="22">
        <f>FFO_AFFO!F19</f>
        <v>2.6931639704727499</v>
      </c>
      <c r="G23" s="22">
        <f>FFO_AFFO!G19</f>
        <v>2.8621838855126445</v>
      </c>
      <c r="H23" s="22">
        <f>FFO_AFFO!H19</f>
        <v>3.0563256023683025</v>
      </c>
      <c r="I23" s="22">
        <f>FFO_AFFO!I19</f>
        <v>3.2168260342325508</v>
      </c>
      <c r="J23" s="22">
        <f>FFO_AFFO!J19</f>
        <v>3.6751429252024774</v>
      </c>
      <c r="K23" s="22">
        <f>FFO_AFFO!K19</f>
        <v>4.4078939487711875</v>
      </c>
      <c r="L23" s="22">
        <f>FFO_AFFO!L19</f>
        <v>4.6570633368436889</v>
      </c>
      <c r="M23" s="22">
        <f>FFO_AFFO!M19</f>
        <v>4.6941685798574122</v>
      </c>
      <c r="N23" s="22">
        <f>FFO_AFFO!N19</f>
        <v>5.046744089354215</v>
      </c>
      <c r="O23" s="22">
        <f>FFO_AFFO!O19</f>
        <v>5.4488593765814164</v>
      </c>
      <c r="P23" s="22">
        <f>FFO_AFFO!P19</f>
        <v>5.8141328126548153</v>
      </c>
      <c r="Q23" s="22">
        <f>FFO_AFFO!Q19</f>
        <v>6.1375781595284886</v>
      </c>
    </row>
    <row r="24" spans="1:17" ht="15" customHeight="1" x14ac:dyDescent="0.2">
      <c r="A24" s="8" t="s">
        <v>400</v>
      </c>
      <c r="B24" s="9">
        <f t="shared" ref="B24:Q24" si="3">IF(B23&lt;&gt;0,B16/B23,0)</f>
        <v>0.55939255323082449</v>
      </c>
      <c r="C24" s="9">
        <f t="shared" si="3"/>
        <v>0.76338155515370698</v>
      </c>
      <c r="D24" s="9">
        <f t="shared" si="3"/>
        <v>1.0732117713320193</v>
      </c>
      <c r="E24" s="9">
        <f t="shared" si="3"/>
        <v>0.45732261635808863</v>
      </c>
      <c r="F24" s="9">
        <f t="shared" si="3"/>
        <v>0.3713104775512287</v>
      </c>
      <c r="G24" s="9">
        <f t="shared" si="3"/>
        <v>0.34938356164383561</v>
      </c>
      <c r="H24" s="9">
        <f t="shared" si="3"/>
        <v>0.32719027031187858</v>
      </c>
      <c r="I24" s="9">
        <f t="shared" si="3"/>
        <v>0.33262600731695263</v>
      </c>
      <c r="J24" s="9">
        <f t="shared" si="3"/>
        <v>0.31835496572845268</v>
      </c>
      <c r="K24" s="9">
        <f t="shared" si="3"/>
        <v>0.34029856830338739</v>
      </c>
      <c r="L24" s="9">
        <f t="shared" si="3"/>
        <v>0.34356414853580142</v>
      </c>
      <c r="M24" s="9">
        <f t="shared" si="3"/>
        <v>0.38345448600286014</v>
      </c>
      <c r="N24" s="9">
        <f t="shared" si="3"/>
        <v>0.36657297601090122</v>
      </c>
      <c r="O24" s="9">
        <f t="shared" si="3"/>
        <v>0.3486968315178009</v>
      </c>
      <c r="P24" s="9">
        <f t="shared" si="3"/>
        <v>0.33538965531638798</v>
      </c>
      <c r="Q24" s="9">
        <f t="shared" si="3"/>
        <v>0.32586143068419149</v>
      </c>
    </row>
    <row r="25" spans="1:17" ht="15" customHeight="1" x14ac:dyDescent="0.2">
      <c r="A25" s="8" t="s">
        <v>401</v>
      </c>
      <c r="B25" s="22">
        <f>FFO_AFFO!B29</f>
        <v>3.3182632481266734</v>
      </c>
      <c r="C25" s="22">
        <f>FFO_AFFO!C29</f>
        <v>2.6012870622606497</v>
      </c>
      <c r="D25" s="22">
        <f>FFO_AFFO!D29</f>
        <v>1.6687265069962411</v>
      </c>
      <c r="E25" s="22">
        <f>FFO_AFFO!E29</f>
        <v>1.7317601212383633</v>
      </c>
      <c r="F25" s="22">
        <f>FFO_AFFO!F29</f>
        <v>2.2208065022773678</v>
      </c>
      <c r="G25" s="22">
        <f>FFO_AFFO!G29</f>
        <v>2.4728092530876298</v>
      </c>
      <c r="H25" s="22">
        <f>FFO_AFFO!H29</f>
        <v>2.4233340521889151</v>
      </c>
      <c r="I25" s="22">
        <f>FFO_AFFO!I29</f>
        <v>2.595332286344751</v>
      </c>
      <c r="J25" s="22">
        <f>FFO_AFFO!J29</f>
        <v>3.0348578688264252</v>
      </c>
      <c r="K25" s="22">
        <f>FFO_AFFO!K29</f>
        <v>3.7375870949709515</v>
      </c>
      <c r="L25" s="22">
        <f>FFO_AFFO!L29</f>
        <v>3.9988716714307206</v>
      </c>
      <c r="M25" s="22">
        <f>FFO_AFFO!M29</f>
        <v>4.0075556968055048</v>
      </c>
      <c r="N25" s="22">
        <f>FFO_AFFO!N29</f>
        <v>4.3491868660896751</v>
      </c>
      <c r="O25" s="22">
        <f>FFO_AFFO!O29</f>
        <v>4.7123523930500424</v>
      </c>
      <c r="P25" s="22">
        <f>FFO_AFFO!P29</f>
        <v>5.0718930794882535</v>
      </c>
      <c r="Q25" s="22">
        <f>FFO_AFFO!Q29</f>
        <v>5.3556069275084761</v>
      </c>
    </row>
    <row r="26" spans="1:17" ht="15" customHeight="1" x14ac:dyDescent="0.2">
      <c r="A26" s="8" t="s">
        <v>402</v>
      </c>
      <c r="B26" s="9">
        <f t="shared" ref="B26:Q26" si="4">IF(B25&lt;&gt;0,B16/B25,0)</f>
        <v>0.61477943353399789</v>
      </c>
      <c r="C26" s="9">
        <f t="shared" si="4"/>
        <v>0.8649564412336086</v>
      </c>
      <c r="D26" s="9">
        <f t="shared" si="4"/>
        <v>1.3483335888575707</v>
      </c>
      <c r="E26" s="9">
        <f t="shared" si="4"/>
        <v>0.57744718089761216</v>
      </c>
      <c r="F26" s="9">
        <f t="shared" si="4"/>
        <v>0.45028686604372387</v>
      </c>
      <c r="G26" s="9">
        <f t="shared" si="4"/>
        <v>0.40439835735464336</v>
      </c>
      <c r="H26" s="9">
        <f t="shared" si="4"/>
        <v>0.41265462312004986</v>
      </c>
      <c r="I26" s="9">
        <f t="shared" si="4"/>
        <v>0.41227861481543893</v>
      </c>
      <c r="J26" s="9">
        <f t="shared" si="4"/>
        <v>0.38552052536563669</v>
      </c>
      <c r="K26" s="9">
        <f t="shared" si="4"/>
        <v>0.40132844048458433</v>
      </c>
      <c r="L26" s="9">
        <f t="shared" si="4"/>
        <v>0.40011286469404267</v>
      </c>
      <c r="M26" s="9">
        <f t="shared" si="4"/>
        <v>0.44915158669780003</v>
      </c>
      <c r="N26" s="9">
        <f t="shared" si="4"/>
        <v>0.42536686901736248</v>
      </c>
      <c r="O26" s="9">
        <f t="shared" si="4"/>
        <v>0.40319565294017329</v>
      </c>
      <c r="P26" s="9">
        <f t="shared" si="4"/>
        <v>0.38447182727218532</v>
      </c>
      <c r="Q26" s="9">
        <f t="shared" si="4"/>
        <v>0.37344040126007449</v>
      </c>
    </row>
    <row r="27" spans="1:17" ht="15" customHeight="1" x14ac:dyDescent="0.2">
      <c r="A27" s="8" t="s">
        <v>180</v>
      </c>
      <c r="B27" s="11">
        <f t="shared" ref="B27:Q27" si="5">B11</f>
        <v>1.6096160884556854</v>
      </c>
      <c r="C27" s="11">
        <f t="shared" si="5"/>
        <v>0.70952268151131115</v>
      </c>
      <c r="D27" s="11">
        <f t="shared" si="5"/>
        <v>-1.7345954775352763</v>
      </c>
      <c r="E27" s="11">
        <f t="shared" si="5"/>
        <v>-0.20882127182192131</v>
      </c>
      <c r="F27" s="11">
        <f t="shared" si="5"/>
        <v>0.84612062195696558</v>
      </c>
      <c r="G27" s="11">
        <f t="shared" si="5"/>
        <v>0.63571848657126051</v>
      </c>
      <c r="H27" s="11">
        <f t="shared" si="5"/>
        <v>0.46087791871703881</v>
      </c>
      <c r="I27" s="11">
        <f t="shared" si="5"/>
        <v>0.51915392720116094</v>
      </c>
      <c r="J27" s="11">
        <f t="shared" si="5"/>
        <v>1.2106558678735906</v>
      </c>
      <c r="K27" s="11">
        <f t="shared" si="5"/>
        <v>1.7090578769789775</v>
      </c>
      <c r="L27" s="11">
        <f t="shared" si="5"/>
        <v>1.8600684519332029</v>
      </c>
      <c r="M27" s="11">
        <f t="shared" si="5"/>
        <v>1.7242002663281235</v>
      </c>
      <c r="N27" s="11">
        <f t="shared" si="5"/>
        <v>1.9373849899170668</v>
      </c>
      <c r="O27" s="11">
        <f t="shared" si="5"/>
        <v>2.2218418239443523</v>
      </c>
      <c r="P27" s="11">
        <f t="shared" si="5"/>
        <v>2.4679975614561509</v>
      </c>
      <c r="Q27" s="11">
        <f t="shared" si="5"/>
        <v>2.6708659644065391</v>
      </c>
    </row>
    <row r="28" spans="1:17" ht="15" customHeight="1" x14ac:dyDescent="0.2">
      <c r="A28" s="8" t="s">
        <v>403</v>
      </c>
      <c r="B28" s="9">
        <f t="shared" ref="B28:Q28" si="6">IF(B27&lt;&gt;0,B16/B27,0)</f>
        <v>1.2673829583532792</v>
      </c>
      <c r="C28" s="9">
        <f t="shared" si="6"/>
        <v>3.1711459811367999</v>
      </c>
      <c r="D28" s="9">
        <f t="shared" si="6"/>
        <v>-1.2971324029952349</v>
      </c>
      <c r="E28" s="9">
        <f t="shared" si="6"/>
        <v>-4.7887841658812444</v>
      </c>
      <c r="F28" s="9">
        <f t="shared" si="6"/>
        <v>1.1818645876838834</v>
      </c>
      <c r="G28" s="9">
        <f t="shared" si="6"/>
        <v>1.5730233131861355</v>
      </c>
      <c r="H28" s="9">
        <f t="shared" si="6"/>
        <v>2.1697719925131871</v>
      </c>
      <c r="I28" s="9">
        <f t="shared" si="6"/>
        <v>2.0610457591422557</v>
      </c>
      <c r="J28" s="9">
        <f t="shared" si="6"/>
        <v>0.96641831179904236</v>
      </c>
      <c r="K28" s="9">
        <f t="shared" si="6"/>
        <v>0.87767653758542141</v>
      </c>
      <c r="L28" s="9">
        <f t="shared" si="6"/>
        <v>0.86018339719545855</v>
      </c>
      <c r="M28" s="9">
        <f t="shared" si="6"/>
        <v>1.0439622560976054</v>
      </c>
      <c r="N28" s="9">
        <f t="shared" si="6"/>
        <v>0.9548953923087804</v>
      </c>
      <c r="O28" s="9">
        <f t="shared" si="6"/>
        <v>0.85514638329518944</v>
      </c>
      <c r="P28" s="9">
        <f t="shared" si="6"/>
        <v>0.79011423287204319</v>
      </c>
      <c r="Q28" s="9">
        <f t="shared" si="6"/>
        <v>0.74882080443314036</v>
      </c>
    </row>
    <row r="31" spans="1:17" ht="15" customHeight="1" x14ac:dyDescent="0.2">
      <c r="A31" s="3" t="s">
        <v>404</v>
      </c>
    </row>
    <row r="32" spans="1:17" ht="15" customHeight="1" x14ac:dyDescent="0.2">
      <c r="A32" s="8" t="s">
        <v>405</v>
      </c>
      <c r="B32" s="22">
        <f>IF(IS!B43&lt;&gt;0,-FFO_AFFO!B24/IS!B43*1000,0)</f>
        <v>328.54968890258704</v>
      </c>
      <c r="C32" s="22">
        <f>IF(IS!C43&lt;&gt;0,-FFO_AFFO!C24/IS!C43*1000,0)</f>
        <v>346.12499506494532</v>
      </c>
      <c r="D32" s="22">
        <f>IF(IS!D43&lt;&gt;0,-FFO_AFFO!D24/IS!D43*1000,0)</f>
        <v>427.78422844547651</v>
      </c>
      <c r="E32" s="22">
        <f>IF(IS!E43&lt;&gt;0,-FFO_AFFO!E24/IS!E43*1000,0)</f>
        <v>454.88004093762919</v>
      </c>
      <c r="F32" s="22">
        <f>IF(IS!F43&lt;&gt;0,-FFO_AFFO!F24/IS!F43*1000,0)</f>
        <v>472.35746819538241</v>
      </c>
      <c r="G32" s="22">
        <f>IF(IS!G43&lt;&gt;0,-FFO_AFFO!G24/IS!G43*1000,0)</f>
        <v>389.37463242501468</v>
      </c>
      <c r="H32" s="22">
        <f>IF(IS!H43&lt;&gt;0,-FFO_AFFO!H24/IS!H43*1000,0)</f>
        <v>632.9915501793871</v>
      </c>
      <c r="I32" s="22">
        <f>IF(IS!I43&lt;&gt;0,-FFO_AFFO!I24/IS!I43*1000,0)</f>
        <v>621.49374788779994</v>
      </c>
      <c r="J32" s="22">
        <f>IF(IS!J43&lt;&gt;0,-FFO_AFFO!J24/IS!J43*1000,0)</f>
        <v>640.28505637605201</v>
      </c>
      <c r="K32" s="22">
        <f>IF(IS!K43&lt;&gt;0,-FFO_AFFO!K24/IS!K43*1000,0)</f>
        <v>670.30685380023556</v>
      </c>
      <c r="L32" s="22">
        <f>IF(IS!L43&lt;&gt;0,-FFO_AFFO!L24/IS!L43*1000,0)</f>
        <v>658.19166541296829</v>
      </c>
      <c r="M32" s="22">
        <f>IF(IS!M43&lt;&gt;0,-FFO_AFFO!M24/IS!M43*1000,0)</f>
        <v>686.61288305190749</v>
      </c>
      <c r="N32" s="22">
        <f>IF(IS!N43&lt;&gt;0,-FFO_AFFO!N24/IS!N43*1000,0)</f>
        <v>697.55722326454031</v>
      </c>
      <c r="O32" s="22">
        <f>IF(IS!O43&lt;&gt;0,-FFO_AFFO!O24/IS!O43*1000,0)</f>
        <v>736.50698353137352</v>
      </c>
      <c r="P32" s="22">
        <f>IF(IS!P43&lt;&gt;0,-FFO_AFFO!P24/IS!P43*1000,0)</f>
        <v>742.23973316656213</v>
      </c>
      <c r="Q32" s="22">
        <f>IF(IS!Q43&lt;&gt;0,-FFO_AFFO!Q24/IS!Q43*1000,0)</f>
        <v>781.97123202001217</v>
      </c>
    </row>
    <row r="33" spans="1:17" ht="15" customHeight="1" x14ac:dyDescent="0.2">
      <c r="A33" s="8" t="s">
        <v>406</v>
      </c>
      <c r="B33" s="22">
        <f>IF(IS!B43&lt;&gt;0,-CFS!B35/IS!B43*1000,0)</f>
        <v>1707.8573767649721</v>
      </c>
      <c r="C33" s="22">
        <f>IF(IS!C43&lt;&gt;0,-CFS!C35/IS!C43*1000,0)</f>
        <v>1929.4879387263611</v>
      </c>
      <c r="D33" s="22">
        <f>IF(IS!D43&lt;&gt;0,-CFS!D35/IS!D43*1000,0)</f>
        <v>3743.195638911302</v>
      </c>
      <c r="E33" s="22">
        <f>IF(IS!E43&lt;&gt;0,-CFS!E35/IS!E43*1000,0)</f>
        <v>2320.7305792280895</v>
      </c>
      <c r="F33" s="22">
        <f>IF(IS!F43&lt;&gt;0,-CFS!F35/IS!F43*1000,0)</f>
        <v>2309.6631066436312</v>
      </c>
      <c r="G33" s="22">
        <f>IF(IS!G43&lt;&gt;0,-CFS!G35/IS!G43*1000,0)</f>
        <v>2130.0333267986671</v>
      </c>
      <c r="H33" s="22">
        <f>IF(IS!H43&lt;&gt;0,-CFS!H35/IS!H43*1000,0)</f>
        <v>2381.8691552139903</v>
      </c>
      <c r="I33" s="22">
        <f>IF(IS!I43&lt;&gt;0,-CFS!I35/IS!I43*1000,0)</f>
        <v>2462.7755799852894</v>
      </c>
      <c r="J33" s="22">
        <f>IF(IS!J43&lt;&gt;0,-CFS!J35/IS!J43*1000,0)</f>
        <v>2362.4741940606636</v>
      </c>
      <c r="K33" s="22">
        <f>IF(IS!K43&lt;&gt;0,-CFS!K35/IS!K43*1000,0)</f>
        <v>2483.4794066561517</v>
      </c>
      <c r="L33" s="22">
        <f>IF(IS!L43&lt;&gt;0,-CFS!L35/IS!L43*1000,0)</f>
        <v>2465.1910636377315</v>
      </c>
      <c r="M33" s="22">
        <f>IF(IS!M43&lt;&gt;0,-CFS!M35/IS!M43*1000,0)</f>
        <v>2909.930790077131</v>
      </c>
      <c r="N33" s="22">
        <f>IF(IS!N43&lt;&gt;0,-CFS!N35/IS!N43*1000,0)</f>
        <v>3049.3215759849909</v>
      </c>
      <c r="O33" s="22">
        <f>IF(IS!O43&lt;&gt;0,-CFS!O35/IS!O43*1000,0)</f>
        <v>3166.9800291849065</v>
      </c>
      <c r="P33" s="22">
        <f>IF(IS!P43&lt;&gt;0,-CFS!P35/IS!P43*1000,0)</f>
        <v>3286.0977277465067</v>
      </c>
      <c r="Q33" s="22">
        <f>IF(IS!Q43&lt;&gt;0,-CFS!Q35/IS!Q43*1000,0)</f>
        <v>3406.6746716697917</v>
      </c>
    </row>
    <row r="34" spans="1:17" ht="15" customHeight="1" x14ac:dyDescent="0.2">
      <c r="A34" s="8" t="s">
        <v>407</v>
      </c>
      <c r="B34" s="28">
        <f>IF(IS!B20&lt;&gt;0,-CFS!B35/IS!B20,0)</f>
        <v>0.30084627861365038</v>
      </c>
      <c r="C34" s="28">
        <f>IF(IS!C20&lt;&gt;0,-CFS!C35/IS!C20,0)</f>
        <v>0.3861888035906898</v>
      </c>
      <c r="D34" s="28">
        <f>IF(IS!D20&lt;&gt;0,-CFS!D35/IS!D20,0)</f>
        <v>0.88023120745269179</v>
      </c>
      <c r="E34" s="28">
        <f>IF(IS!E20&lt;&gt;0,-CFS!E35/IS!E20,0)</f>
        <v>0.52166949812415941</v>
      </c>
      <c r="F34" s="28">
        <f>IF(IS!F20&lt;&gt;0,-CFS!F35/IS!F20,0)</f>
        <v>0.45459112108905575</v>
      </c>
      <c r="G34" s="28">
        <f>IF(IS!G20&lt;&gt;0,-CFS!G35/IS!G20,0)</f>
        <v>0.40369839193888774</v>
      </c>
      <c r="H34" s="28">
        <f>IF(IS!H20&lt;&gt;0,-CFS!H35/IS!H20,0)</f>
        <v>0.44285193555442154</v>
      </c>
      <c r="I34" s="28">
        <f>IF(IS!I20&lt;&gt;0,-CFS!I35/IS!I20,0)</f>
        <v>0.43117430043157456</v>
      </c>
      <c r="J34" s="28">
        <f>IF(IS!J20&lt;&gt;0,-CFS!J35/IS!J20,0)</f>
        <v>0.35740519957115702</v>
      </c>
      <c r="K34" s="28">
        <f>IF(IS!K20&lt;&gt;0,-CFS!K35/IS!K20,0)</f>
        <v>0.32535688691039771</v>
      </c>
      <c r="L34" s="28">
        <f>IF(IS!L20&lt;&gt;0,-CFS!L35/IS!L20,0)</f>
        <v>0.31393975969978039</v>
      </c>
      <c r="M34" s="28">
        <f>IF(IS!M20&lt;&gt;0,-CFS!M35/IS!M20,0)</f>
        <v>0.35838749807262876</v>
      </c>
      <c r="N34" s="28">
        <f>IF(IS!N20&lt;&gt;0,-CFS!N35/IS!N20,0)</f>
        <v>0.35710694899573237</v>
      </c>
      <c r="O34" s="28">
        <f>IF(IS!O20&lt;&gt;0,-CFS!O35/IS!O20,0)</f>
        <v>0.35435178470640288</v>
      </c>
      <c r="P34" s="28">
        <f>IF(IS!P20&lt;&gt;0,-CFS!P35/IS!P20,0)</f>
        <v>0.35391028405135072</v>
      </c>
      <c r="Q34" s="28">
        <f>IF(IS!Q20&lt;&gt;0,-CFS!Q35/IS!Q20,0)</f>
        <v>0.35544554432742193</v>
      </c>
    </row>
    <row r="37" spans="1:17" ht="15" customHeight="1" x14ac:dyDescent="0.2">
      <c r="A37" s="3" t="s">
        <v>408</v>
      </c>
    </row>
    <row r="38" spans="1:17" ht="15" customHeight="1" x14ac:dyDescent="0.2">
      <c r="A38" s="8" t="s">
        <v>409</v>
      </c>
      <c r="B38" s="19">
        <f>BS!B54</f>
        <v>261295</v>
      </c>
      <c r="C38" s="19">
        <f>BS!C54</f>
        <v>219152</v>
      </c>
      <c r="D38" s="19">
        <f>BS!D54</f>
        <v>182681</v>
      </c>
      <c r="E38" s="19">
        <f>BS!E54</f>
        <v>188219</v>
      </c>
      <c r="F38" s="19">
        <f>BS!F54</f>
        <v>220148</v>
      </c>
      <c r="G38" s="19">
        <f>BS!G54</f>
        <v>233075</v>
      </c>
      <c r="H38" s="19">
        <f>BS!H54</f>
        <v>241058</v>
      </c>
      <c r="I38" s="19">
        <f>BS!I54</f>
        <v>253461</v>
      </c>
      <c r="J38" s="19">
        <f>BS!J54</f>
        <v>291817</v>
      </c>
      <c r="K38" s="19">
        <f>BS!K54</f>
        <v>337543</v>
      </c>
      <c r="L38" s="19">
        <f>BS!L54</f>
        <v>371861</v>
      </c>
      <c r="M38" s="19">
        <f>BS!M54</f>
        <v>379431.32716033276</v>
      </c>
      <c r="N38" s="19">
        <f>BS!N54</f>
        <v>398824.41212787834</v>
      </c>
      <c r="O38" s="19">
        <f>BS!O54</f>
        <v>418320.45829291624</v>
      </c>
      <c r="P38" s="19">
        <f>BS!P54</f>
        <v>434296.64102376252</v>
      </c>
      <c r="Q38" s="19">
        <f>BS!Q54</f>
        <v>447573.38900836621</v>
      </c>
    </row>
    <row r="39" spans="1:17" ht="15" customHeight="1" x14ac:dyDescent="0.2">
      <c r="A39" s="8" t="s">
        <v>410</v>
      </c>
      <c r="B39" s="19">
        <f>CFS!B44</f>
        <v>87498</v>
      </c>
      <c r="C39" s="19">
        <f>CFS!C44</f>
        <v>84256</v>
      </c>
      <c r="D39" s="19">
        <f>CFS!D44</f>
        <v>79907</v>
      </c>
      <c r="E39" s="19">
        <f>CFS!E44</f>
        <v>74328</v>
      </c>
      <c r="F39" s="19">
        <f>CFS!F44</f>
        <v>81673</v>
      </c>
      <c r="G39" s="19">
        <f>CFS!G44</f>
        <v>85448</v>
      </c>
      <c r="H39" s="19">
        <f>CFS!H44</f>
        <v>82951</v>
      </c>
      <c r="I39" s="19">
        <f>CFS!I44</f>
        <v>87639</v>
      </c>
      <c r="J39" s="19">
        <f>CFS!J44</f>
        <v>103084</v>
      </c>
      <c r="K39" s="19">
        <f>CFS!K44</f>
        <v>113123</v>
      </c>
      <c r="L39" s="19">
        <f>CFS!L44</f>
        <v>119641</v>
      </c>
      <c r="M39" s="19">
        <f>CFS!M44</f>
        <v>133432.14185393258</v>
      </c>
      <c r="N39" s="19">
        <f>CFS!N44</f>
        <v>134032.9521652986</v>
      </c>
      <c r="O39" s="19">
        <f>CFS!O44</f>
        <v>132096.25352112678</v>
      </c>
      <c r="P39" s="19">
        <f>CFS!P44</f>
        <v>128603.36210926088</v>
      </c>
      <c r="Q39" s="19">
        <f>CFS!Q44</f>
        <v>124640.47310549776</v>
      </c>
    </row>
    <row r="40" spans="1:17" ht="15" customHeight="1" x14ac:dyDescent="0.2">
      <c r="A40" s="8" t="s">
        <v>411</v>
      </c>
      <c r="B40" s="27">
        <f t="shared" ref="B40:Q40" si="7">IF(B39&lt;&gt;0,B38/B39,0)</f>
        <v>2.9862968296418204</v>
      </c>
      <c r="C40" s="27">
        <f t="shared" si="7"/>
        <v>2.6010254462590203</v>
      </c>
      <c r="D40" s="27">
        <f t="shared" si="7"/>
        <v>2.2861701728259103</v>
      </c>
      <c r="E40" s="27">
        <f t="shared" si="7"/>
        <v>2.5322758583575502</v>
      </c>
      <c r="F40" s="27">
        <f t="shared" si="7"/>
        <v>2.6954807586350444</v>
      </c>
      <c r="G40" s="27">
        <f t="shared" si="7"/>
        <v>2.7276823331148767</v>
      </c>
      <c r="H40" s="27">
        <f t="shared" si="7"/>
        <v>2.9060288604115683</v>
      </c>
      <c r="I40" s="27">
        <f t="shared" si="7"/>
        <v>2.8921028309314347</v>
      </c>
      <c r="J40" s="27">
        <f t="shared" si="7"/>
        <v>2.8308660897908502</v>
      </c>
      <c r="K40" s="27">
        <f t="shared" si="7"/>
        <v>2.9838582781574039</v>
      </c>
      <c r="L40" s="27">
        <f t="shared" si="7"/>
        <v>3.1081401860566196</v>
      </c>
      <c r="M40" s="27">
        <f t="shared" si="7"/>
        <v>2.8436276438977806</v>
      </c>
      <c r="N40" s="27">
        <f t="shared" si="7"/>
        <v>2.9755698556577399</v>
      </c>
      <c r="O40" s="27">
        <f t="shared" si="7"/>
        <v>3.16678518233685</v>
      </c>
      <c r="P40" s="27">
        <f t="shared" si="7"/>
        <v>3.3770240054438538</v>
      </c>
      <c r="Q40" s="27">
        <f t="shared" si="7"/>
        <v>3.5909153572414048</v>
      </c>
    </row>
    <row r="42" spans="1:17" ht="15" customHeight="1" x14ac:dyDescent="0.2">
      <c r="A42" s="8" t="s">
        <v>412</v>
      </c>
      <c r="B42" s="22">
        <f>IF(IS!B43&lt;&gt;0,(FFO_AFFO!B18-1500*Ops!B29/1000)/IS!B43,0)</f>
        <v>2.6948259588157111</v>
      </c>
      <c r="C42" s="22">
        <f>IF(IS!C43&lt;&gt;0,(FFO_AFFO!C18-1500*Ops!C29/1000)/IS!C43,0)</f>
        <v>1.9473824469975127</v>
      </c>
      <c r="D42" s="22">
        <f>IF(IS!D43&lt;&gt;0,(FFO_AFFO!D18-1500*Ops!D29/1000)/IS!D43,0)</f>
        <v>1.1168303386928542</v>
      </c>
      <c r="E42" s="22">
        <f>IF(IS!E43&lt;&gt;0,(FFO_AFFO!E18-1500*Ops!E29/1000)/IS!E43,0)</f>
        <v>1.2133480288925191</v>
      </c>
      <c r="F42" s="22">
        <f>IF(IS!F43&lt;&gt;0,(FFO_AFFO!F18-1500*Ops!F29/1000)/IS!F43,0)</f>
        <v>1.7136111983665776</v>
      </c>
      <c r="G42" s="22">
        <f>IF(IS!G43&lt;&gt;0,(FFO_AFFO!G18-1500*Ops!G29/1000)/IS!G43,0)</f>
        <v>1.880141148794354</v>
      </c>
      <c r="H42" s="22">
        <f>IF(IS!H43&lt;&gt;0,(FFO_AFFO!H18-1500*Ops!H29/1000)/IS!H43,0)</f>
        <v>2.0858705667849509</v>
      </c>
      <c r="I42" s="22">
        <f>IF(IS!I43&lt;&gt;0,(FFO_AFFO!I18-1500*Ops!I29/1000)/IS!I43,0)</f>
        <v>2.2086356678528118</v>
      </c>
      <c r="J42" s="22">
        <f>IF(IS!J43&lt;&gt;0,(FFO_AFFO!J18-1500*Ops!J29/1000)/IS!J43,0)</f>
        <v>2.6618925678894714</v>
      </c>
      <c r="K42" s="22">
        <f>IF(IS!K43&lt;&gt;0,(FFO_AFFO!K18-1500*Ops!K29/1000)/IS!K43,0)</f>
        <v>3.3775779113178541</v>
      </c>
      <c r="L42" s="22">
        <f>IF(IS!L43&lt;&gt;0,(FFO_AFFO!L18-1500*Ops!L29/1000)/IS!L43,0)</f>
        <v>3.6817361215585978</v>
      </c>
      <c r="M42" s="22">
        <f>IF(IS!M43&lt;&gt;0,(FFO_AFFO!M18-1500*Ops!M29/1000)/IS!M43,0)</f>
        <v>3.7132930326404017</v>
      </c>
      <c r="N42" s="22">
        <f>IF(IS!N43&lt;&gt;0,(FFO_AFFO!N18-1500*Ops!N29/1000)/IS!N43,0)</f>
        <v>4.0502337704048719</v>
      </c>
      <c r="O42" s="22">
        <f>IF(IS!O43&lt;&gt;0,(FFO_AFFO!O18-1500*Ops!O29/1000)/IS!O43,0)</f>
        <v>4.4445316717659065</v>
      </c>
      <c r="P42" s="22">
        <f>IF(IS!P43&lt;&gt;0,(FFO_AFFO!P18-1500*Ops!P29/1000)/IS!P43,0)</f>
        <v>4.8019877219731395</v>
      </c>
      <c r="Q42" s="22">
        <f>IF(IS!Q43&lt;&gt;0,(FFO_AFFO!Q18-1500*Ops!Q29/1000)/IS!Q43,0)</f>
        <v>5.1176156829806461</v>
      </c>
    </row>
    <row r="43" spans="1:17" ht="15" customHeight="1" x14ac:dyDescent="0.2">
      <c r="A43" s="8" t="s">
        <v>413</v>
      </c>
      <c r="B43" s="9">
        <f t="shared" ref="B43:Q43" si="8">IF(B42&lt;&gt;0,B16/B42,0)</f>
        <v>0.757006215309175</v>
      </c>
      <c r="C43" s="9">
        <f t="shared" si="8"/>
        <v>1.1553970836437728</v>
      </c>
      <c r="D43" s="9">
        <f t="shared" si="8"/>
        <v>2.0146300848465626</v>
      </c>
      <c r="E43" s="9">
        <f t="shared" si="8"/>
        <v>0.82416584210611687</v>
      </c>
      <c r="F43" s="9">
        <f t="shared" si="8"/>
        <v>0.58356294645670193</v>
      </c>
      <c r="G43" s="9">
        <f t="shared" si="8"/>
        <v>0.53187496089921382</v>
      </c>
      <c r="H43" s="9">
        <f t="shared" si="8"/>
        <v>0.47941613248867421</v>
      </c>
      <c r="I43" s="9">
        <f t="shared" si="8"/>
        <v>0.48446197603981966</v>
      </c>
      <c r="J43" s="9">
        <f t="shared" si="8"/>
        <v>0.43953689721131578</v>
      </c>
      <c r="K43" s="9">
        <f t="shared" si="8"/>
        <v>0.44410522551491172</v>
      </c>
      <c r="L43" s="9">
        <f t="shared" si="8"/>
        <v>0.43457758708754729</v>
      </c>
      <c r="M43" s="9">
        <f t="shared" si="8"/>
        <v>0.48474493776217781</v>
      </c>
      <c r="N43" s="9">
        <f t="shared" si="8"/>
        <v>0.45676375855585966</v>
      </c>
      <c r="O43" s="9">
        <f t="shared" si="8"/>
        <v>0.42749160998668051</v>
      </c>
      <c r="P43" s="9">
        <f t="shared" si="8"/>
        <v>0.40608183795995711</v>
      </c>
      <c r="Q43" s="9">
        <f t="shared" si="8"/>
        <v>0.3908069937043695</v>
      </c>
    </row>
    <row r="44" spans="1:17" ht="15" customHeight="1" x14ac:dyDescent="0.2">
      <c r="A44" s="8" t="s">
        <v>414</v>
      </c>
      <c r="B44" s="22">
        <f>IF(IS!B43&lt;&gt;0,(FFO_AFFO!B18-2000*Ops!B29/1000)/IS!B43,0)</f>
        <v>2.3774969660778611</v>
      </c>
      <c r="C44" s="22">
        <f>IF(IS!C43&lt;&gt;0,(FFO_AFFO!C18-2000*Ops!C29/1000)/IS!C43,0)</f>
        <v>1.6140392435548185</v>
      </c>
      <c r="D44" s="22">
        <f>IF(IS!D43&lt;&gt;0,(FFO_AFFO!D18-2000*Ops!D29/1000)/IS!D43,0)</f>
        <v>0.79027020644323298</v>
      </c>
      <c r="E44" s="22">
        <f>IF(IS!E43&lt;&gt;0,(FFO_AFFO!E18-2000*Ops!E29/1000)/IS!E43,0)</f>
        <v>0.88891731779802796</v>
      </c>
      <c r="F44" s="22">
        <f>IF(IS!F43&lt;&gt;0,(FFO_AFFO!F18-2000*Ops!F29/1000)/IS!F43,0)</f>
        <v>1.3870936076645202</v>
      </c>
      <c r="G44" s="22">
        <f>IF(IS!G43&lt;&gt;0,(FFO_AFFO!G18-2000*Ops!G29/1000)/IS!G43,0)</f>
        <v>1.5527935698882571</v>
      </c>
      <c r="H44" s="22">
        <f>IF(IS!H43&lt;&gt;0,(FFO_AFFO!H18-2000*Ops!H29/1000)/IS!H43,0)</f>
        <v>1.7623855549238341</v>
      </c>
      <c r="I44" s="22">
        <f>IF(IS!I43&lt;&gt;0,(FFO_AFFO!I18-2000*Ops!I29/1000)/IS!I43,0)</f>
        <v>1.8725722123928989</v>
      </c>
      <c r="J44" s="22">
        <f>IF(IS!J43&lt;&gt;0,(FFO_AFFO!J18-2000*Ops!J29/1000)/IS!J43,0)</f>
        <v>2.3241424487851359</v>
      </c>
      <c r="K44" s="22">
        <f>IF(IS!K43&lt;&gt;0,(FFO_AFFO!K18-2000*Ops!K29/1000)/IS!K43,0)</f>
        <v>3.0341392321667433</v>
      </c>
      <c r="L44" s="22">
        <f>IF(IS!L43&lt;&gt;0,(FFO_AFFO!L18-2000*Ops!L29/1000)/IS!L43,0)</f>
        <v>3.3566270497969009</v>
      </c>
      <c r="M44" s="22">
        <f>IF(IS!M43&lt;&gt;0,(FFO_AFFO!M18-2000*Ops!M29/1000)/IS!M43,0)</f>
        <v>3.3863345169013979</v>
      </c>
      <c r="N44" s="22">
        <f>IF(IS!N43&lt;&gt;0,(FFO_AFFO!N18-2000*Ops!N29/1000)/IS!N43,0)</f>
        <v>3.7180636640884241</v>
      </c>
      <c r="O44" s="22">
        <f>IF(IS!O43&lt;&gt;0,(FFO_AFFO!O18-2000*Ops!O29/1000)/IS!O43,0)</f>
        <v>4.1097557701607377</v>
      </c>
      <c r="P44" s="22">
        <f>IF(IS!P43&lt;&gt;0,(FFO_AFFO!P18-2000*Ops!P29/1000)/IS!P43,0)</f>
        <v>4.4646060250792479</v>
      </c>
      <c r="Q44" s="22">
        <f>IF(IS!Q43&lt;&gt;0,(FFO_AFFO!Q18-2000*Ops!Q29/1000)/IS!Q43,0)</f>
        <v>4.7776281907980325</v>
      </c>
    </row>
    <row r="45" spans="1:17" ht="15" customHeight="1" x14ac:dyDescent="0.2">
      <c r="A45" s="8" t="s">
        <v>413</v>
      </c>
      <c r="B45" s="9">
        <f t="shared" ref="B45:Q45" si="9">IF(B44&lt;&gt;0,B16/B44,0)</f>
        <v>0.85804525898738482</v>
      </c>
      <c r="C45" s="9">
        <f t="shared" si="9"/>
        <v>1.3940181497969768</v>
      </c>
      <c r="D45" s="9">
        <f t="shared" si="9"/>
        <v>2.8471274529335595</v>
      </c>
      <c r="E45" s="9">
        <f t="shared" si="9"/>
        <v>1.124964020812576</v>
      </c>
      <c r="F45" s="9">
        <f t="shared" si="9"/>
        <v>0.72093187833496097</v>
      </c>
      <c r="G45" s="9">
        <f t="shared" si="9"/>
        <v>0.64400060599939402</v>
      </c>
      <c r="H45" s="9">
        <f t="shared" si="9"/>
        <v>0.56741273054931363</v>
      </c>
      <c r="I45" s="9">
        <f t="shared" si="9"/>
        <v>0.57140653530935503</v>
      </c>
      <c r="J45" s="9">
        <f t="shared" si="9"/>
        <v>0.50341148435698357</v>
      </c>
      <c r="K45" s="9">
        <f t="shared" si="9"/>
        <v>0.49437414871987206</v>
      </c>
      <c r="L45" s="9">
        <f t="shared" si="9"/>
        <v>0.47666898236335525</v>
      </c>
      <c r="M45" s="9">
        <f t="shared" si="9"/>
        <v>0.53154819496304706</v>
      </c>
      <c r="N45" s="9">
        <f t="shared" si="9"/>
        <v>0.49757082372433598</v>
      </c>
      <c r="O45" s="9">
        <f t="shared" si="9"/>
        <v>0.46231457688924626</v>
      </c>
      <c r="P45" s="9">
        <f t="shared" si="9"/>
        <v>0.43676866201545456</v>
      </c>
      <c r="Q45" s="9">
        <f t="shared" si="9"/>
        <v>0.41861775762544834</v>
      </c>
    </row>
    <row r="47" spans="1:17" ht="15" customHeight="1" x14ac:dyDescent="0.2">
      <c r="A47" s="8" t="s">
        <v>415</v>
      </c>
      <c r="B47" s="19">
        <f>IS!B20+IS!B23+IS!B26</f>
        <v>261295</v>
      </c>
      <c r="C47" s="19">
        <f>IS!C20+IS!C23+IS!C26</f>
        <v>219152</v>
      </c>
      <c r="D47" s="19">
        <f>IS!D20+IS!D23+IS!D26</f>
        <v>182681</v>
      </c>
      <c r="E47" s="19">
        <f>IS!E20+IS!E23+IS!E26</f>
        <v>188219</v>
      </c>
      <c r="F47" s="19">
        <f>IS!F20+IS!F23+IS!F26</f>
        <v>220148</v>
      </c>
      <c r="G47" s="19">
        <f>IS!G20+IS!G23+IS!G26</f>
        <v>233075</v>
      </c>
      <c r="H47" s="19">
        <f>IS!H20+IS!H23+IS!H26</f>
        <v>241058</v>
      </c>
      <c r="I47" s="19">
        <f>IS!I20+IS!I23+IS!I26</f>
        <v>253461</v>
      </c>
      <c r="J47" s="19">
        <f>IS!J20+IS!J23+IS!J26</f>
        <v>291817</v>
      </c>
      <c r="K47" s="19">
        <f>IS!K20+IS!K23+IS!K26</f>
        <v>337543</v>
      </c>
      <c r="L47" s="19">
        <f>IS!L20+IS!L23+IS!L26</f>
        <v>371861</v>
      </c>
      <c r="M47" s="19">
        <f>IS!M20+IS!M23+IS!M26</f>
        <v>379431.32716033276</v>
      </c>
      <c r="N47" s="19">
        <f>IS!N20+IS!N23+IS!N26</f>
        <v>398824.41212787834</v>
      </c>
      <c r="O47" s="19">
        <f>IS!O20+IS!O23+IS!O26</f>
        <v>418320.45829291624</v>
      </c>
      <c r="P47" s="19">
        <f>IS!P20+IS!P23+IS!P26</f>
        <v>434296.64102376252</v>
      </c>
      <c r="Q47" s="19">
        <f>IS!Q20+IS!Q23+IS!Q26</f>
        <v>447573.38900836621</v>
      </c>
    </row>
    <row r="48" spans="1:17" ht="15" customHeight="1" x14ac:dyDescent="0.2">
      <c r="A48" s="8" t="s">
        <v>416</v>
      </c>
      <c r="B48" s="19">
        <f>-CFS!B23</f>
        <v>49519</v>
      </c>
      <c r="C48" s="19">
        <f>-CFS!C23</f>
        <v>54878</v>
      </c>
      <c r="D48" s="19">
        <f>-CFS!D23</f>
        <v>60399</v>
      </c>
      <c r="E48" s="19">
        <f>-CFS!E23</f>
        <v>63726</v>
      </c>
      <c r="F48" s="19">
        <f>-CFS!F23</f>
        <v>68203</v>
      </c>
      <c r="G48" s="19">
        <f>-CFS!G23</f>
        <v>69686</v>
      </c>
      <c r="H48" s="19">
        <f>-CFS!H23</f>
        <v>72459</v>
      </c>
      <c r="I48" s="19">
        <f>-CFS!I23</f>
        <v>74588</v>
      </c>
      <c r="J48" s="19">
        <f>-CFS!J23</f>
        <v>74448</v>
      </c>
      <c r="K48" s="19">
        <f>-CFS!K23</f>
        <v>75282</v>
      </c>
      <c r="L48" s="19">
        <f>-CFS!L23</f>
        <v>78641</v>
      </c>
      <c r="M48" s="19">
        <f>-CFS!M23</f>
        <v>80000</v>
      </c>
      <c r="N48" s="19">
        <f>-CFS!N23</f>
        <v>82000</v>
      </c>
      <c r="O48" s="19">
        <f>-CFS!O23</f>
        <v>84000</v>
      </c>
      <c r="P48" s="19">
        <f>-CFS!P23</f>
        <v>86000</v>
      </c>
      <c r="Q48" s="19">
        <f>-CFS!Q23</f>
        <v>88000</v>
      </c>
    </row>
    <row r="49" spans="1:17" ht="15" customHeight="1" x14ac:dyDescent="0.2">
      <c r="A49" s="8" t="s">
        <v>417</v>
      </c>
      <c r="B49" s="14">
        <f t="shared" ref="B49:Q49" si="10">B39+B48</f>
        <v>137017</v>
      </c>
      <c r="C49" s="14">
        <f t="shared" si="10"/>
        <v>139134</v>
      </c>
      <c r="D49" s="14">
        <f t="shared" si="10"/>
        <v>140306</v>
      </c>
      <c r="E49" s="14">
        <f t="shared" si="10"/>
        <v>138054</v>
      </c>
      <c r="F49" s="14">
        <f t="shared" si="10"/>
        <v>149876</v>
      </c>
      <c r="G49" s="14">
        <f t="shared" si="10"/>
        <v>155134</v>
      </c>
      <c r="H49" s="14">
        <f t="shared" si="10"/>
        <v>155410</v>
      </c>
      <c r="I49" s="14">
        <f t="shared" si="10"/>
        <v>162227</v>
      </c>
      <c r="J49" s="14">
        <f t="shared" si="10"/>
        <v>177532</v>
      </c>
      <c r="K49" s="14">
        <f t="shared" si="10"/>
        <v>188405</v>
      </c>
      <c r="L49" s="14">
        <f t="shared" si="10"/>
        <v>198282</v>
      </c>
      <c r="M49" s="14">
        <f t="shared" si="10"/>
        <v>213432.14185393258</v>
      </c>
      <c r="N49" s="14">
        <f t="shared" si="10"/>
        <v>216032.9521652986</v>
      </c>
      <c r="O49" s="14">
        <f t="shared" si="10"/>
        <v>216096.25352112678</v>
      </c>
      <c r="P49" s="14">
        <f t="shared" si="10"/>
        <v>214603.36210926087</v>
      </c>
      <c r="Q49" s="14">
        <f t="shared" si="10"/>
        <v>212640.47310549777</v>
      </c>
    </row>
    <row r="50" spans="1:17" ht="15" customHeight="1" x14ac:dyDescent="0.2">
      <c r="A50" s="8" t="s">
        <v>418</v>
      </c>
      <c r="B50" s="27">
        <f t="shared" ref="B50:Q50" si="11">IF(B49&lt;&gt;0,B47/B49,0)</f>
        <v>1.9070261354430471</v>
      </c>
      <c r="C50" s="27">
        <f t="shared" si="11"/>
        <v>1.5751146376874092</v>
      </c>
      <c r="D50" s="27">
        <f t="shared" si="11"/>
        <v>1.302018445397916</v>
      </c>
      <c r="E50" s="27">
        <f t="shared" si="11"/>
        <v>1.3633723035913483</v>
      </c>
      <c r="F50" s="27">
        <f t="shared" si="11"/>
        <v>1.4688675972136966</v>
      </c>
      <c r="G50" s="27">
        <f t="shared" si="11"/>
        <v>1.5024108190338674</v>
      </c>
      <c r="H50" s="27">
        <f t="shared" si="11"/>
        <v>1.5511099671835789</v>
      </c>
      <c r="I50" s="27">
        <f t="shared" si="11"/>
        <v>1.5623848064748778</v>
      </c>
      <c r="J50" s="27">
        <f t="shared" si="11"/>
        <v>1.6437430998355227</v>
      </c>
      <c r="K50" s="27">
        <f t="shared" si="11"/>
        <v>1.791581964385234</v>
      </c>
      <c r="L50" s="27">
        <f t="shared" si="11"/>
        <v>1.8754148132457813</v>
      </c>
      <c r="M50" s="27">
        <f t="shared" si="11"/>
        <v>1.7777609495199918</v>
      </c>
      <c r="N50" s="27">
        <f t="shared" si="11"/>
        <v>1.8461276769606705</v>
      </c>
      <c r="O50" s="27">
        <f t="shared" si="11"/>
        <v>1.9358061580277184</v>
      </c>
      <c r="P50" s="27">
        <f t="shared" si="11"/>
        <v>2.0237177868753489</v>
      </c>
      <c r="Q50" s="27">
        <f t="shared" si="11"/>
        <v>2.1048363111302462</v>
      </c>
    </row>
    <row r="52" spans="1:17" ht="15" customHeight="1" x14ac:dyDescent="0.2">
      <c r="A52" s="8" t="s">
        <v>419</v>
      </c>
      <c r="B52" s="14">
        <v>0</v>
      </c>
      <c r="C52" s="14">
        <f t="shared" ref="C52:Q52" si="12">B52+C18</f>
        <v>-67456</v>
      </c>
      <c r="D52" s="14">
        <f t="shared" si="12"/>
        <v>-259765</v>
      </c>
      <c r="E52" s="14">
        <f t="shared" si="12"/>
        <v>-316772</v>
      </c>
      <c r="F52" s="14">
        <f t="shared" si="12"/>
        <v>-320136</v>
      </c>
      <c r="G52" s="14">
        <f t="shared" si="12"/>
        <v>-334279</v>
      </c>
      <c r="H52" s="14">
        <f t="shared" si="12"/>
        <v>-357324</v>
      </c>
      <c r="I52" s="14">
        <f t="shared" si="12"/>
        <v>-380107</v>
      </c>
      <c r="J52" s="14">
        <f t="shared" si="12"/>
        <v>-372288</v>
      </c>
      <c r="K52" s="14">
        <f t="shared" si="12"/>
        <v>-355600</v>
      </c>
      <c r="L52" s="14">
        <f t="shared" si="12"/>
        <v>-334568</v>
      </c>
      <c r="M52" s="14">
        <f t="shared" si="12"/>
        <v>-338608.12580471102</v>
      </c>
      <c r="N52" s="14">
        <f t="shared" si="12"/>
        <v>-333950.50584213133</v>
      </c>
      <c r="O52" s="14">
        <f t="shared" si="12"/>
        <v>-316796.33662589733</v>
      </c>
      <c r="P52" s="14">
        <f t="shared" si="12"/>
        <v>-289187.06660028448</v>
      </c>
      <c r="Q52" s="14">
        <f t="shared" si="12"/>
        <v>-253429.91069741594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0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420</v>
      </c>
    </row>
    <row r="3" spans="1:17" ht="15" customHeight="1" x14ac:dyDescent="0.2">
      <c r="A3" s="4" t="s">
        <v>421</v>
      </c>
    </row>
    <row r="5" spans="1:17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7" ht="15" customHeight="1" x14ac:dyDescent="0.2">
      <c r="A7" s="3" t="s">
        <v>422</v>
      </c>
    </row>
    <row r="8" spans="1:17" ht="15" customHeight="1" x14ac:dyDescent="0.2">
      <c r="A8" s="8" t="s">
        <v>423</v>
      </c>
      <c r="B8" s="13">
        <v>294702</v>
      </c>
      <c r="C8" s="13">
        <v>253099</v>
      </c>
      <c r="D8" s="13">
        <v>216083</v>
      </c>
      <c r="E8" s="13">
        <v>226032</v>
      </c>
      <c r="F8" s="13">
        <v>258793</v>
      </c>
      <c r="G8" s="13">
        <v>269144</v>
      </c>
      <c r="H8" s="13">
        <v>274340</v>
      </c>
      <c r="I8" s="13">
        <v>287320</v>
      </c>
      <c r="J8" s="13">
        <v>332989</v>
      </c>
      <c r="K8" s="13">
        <v>382334</v>
      </c>
      <c r="L8" s="13">
        <v>417561</v>
      </c>
      <c r="M8" s="19">
        <f>IS!M20</f>
        <v>432769.87044810236</v>
      </c>
      <c r="N8" s="19">
        <f>IS!N20</f>
        <v>455126.51169927896</v>
      </c>
      <c r="O8" s="19">
        <f>IS!O20</f>
        <v>476362.87678193656</v>
      </c>
      <c r="P8" s="19">
        <f>IS!P20</f>
        <v>494896.63562157331</v>
      </c>
      <c r="Q8" s="19">
        <f>IS!Q20</f>
        <v>510839.88222043857</v>
      </c>
    </row>
    <row r="13" spans="1:17" ht="15" customHeight="1" x14ac:dyDescent="0.2">
      <c r="A13" s="3" t="s">
        <v>424</v>
      </c>
    </row>
    <row r="15" spans="1:17" ht="15" customHeight="1" x14ac:dyDescent="0.2">
      <c r="A15" s="8" t="s">
        <v>425</v>
      </c>
      <c r="B15" s="10">
        <v>1.7999999999999999E-2</v>
      </c>
      <c r="C15" s="10">
        <v>-6.4000000000000001E-2</v>
      </c>
      <c r="D15" s="10">
        <v>-0.154</v>
      </c>
      <c r="E15" s="10">
        <v>5.5E-2</v>
      </c>
      <c r="F15" s="10">
        <v>8.2000000000000003E-2</v>
      </c>
      <c r="G15" s="10">
        <v>0.02</v>
      </c>
      <c r="H15" s="10">
        <v>1E-3</v>
      </c>
      <c r="I15" s="10">
        <v>7.0000000000000007E-2</v>
      </c>
      <c r="J15" s="10">
        <v>0.13700000000000001</v>
      </c>
      <c r="K15" s="10">
        <v>0.13</v>
      </c>
      <c r="L15" s="10">
        <v>0.09</v>
      </c>
      <c r="M15" s="28">
        <f>Assumptions!B8</f>
        <v>3.5999999999999997E-2</v>
      </c>
      <c r="N15" s="28">
        <f>Assumptions!C8</f>
        <v>3.8999999999999993E-2</v>
      </c>
      <c r="O15" s="28">
        <f>Assumptions!D8</f>
        <v>3.5999999999999997E-2</v>
      </c>
      <c r="P15" s="28">
        <f>Assumptions!E8</f>
        <v>3.5999999999999997E-2</v>
      </c>
      <c r="Q15" s="28">
        <f>Assumptions!F8</f>
        <v>3.5999999999999997E-2</v>
      </c>
    </row>
    <row r="19" spans="1:17" ht="15" customHeight="1" x14ac:dyDescent="0.2">
      <c r="A19" s="3" t="s">
        <v>426</v>
      </c>
    </row>
    <row r="20" spans="1:17" ht="15" customHeight="1" x14ac:dyDescent="0.2">
      <c r="A20" s="8" t="s">
        <v>427</v>
      </c>
      <c r="B20" s="9">
        <f t="shared" ref="B20:L20" si="0">SUMPRODUCT(B37:B42,B55:B60)/SUM(B55:B60)</f>
        <v>0.97160569730756263</v>
      </c>
      <c r="C20" s="9">
        <f t="shared" si="0"/>
        <v>0.93924390243902434</v>
      </c>
      <c r="D20" s="9">
        <f t="shared" si="0"/>
        <v>0.9084329960134927</v>
      </c>
      <c r="E20" s="9">
        <f t="shared" si="0"/>
        <v>0.9235255783336469</v>
      </c>
      <c r="F20" s="9">
        <f t="shared" si="0"/>
        <v>0.94631987577639753</v>
      </c>
      <c r="G20" s="9">
        <f t="shared" si="0"/>
        <v>0.94061076923076914</v>
      </c>
      <c r="H20" s="9">
        <f t="shared" si="0"/>
        <v>0.94689374999999998</v>
      </c>
      <c r="I20" s="9">
        <f t="shared" si="0"/>
        <v>0.96122991347342401</v>
      </c>
      <c r="J20" s="9">
        <f t="shared" si="0"/>
        <v>0.97240355174525406</v>
      </c>
      <c r="K20" s="9">
        <f t="shared" si="0"/>
        <v>0.97780871670702174</v>
      </c>
      <c r="L20" s="9">
        <f t="shared" si="0"/>
        <v>0.98093693693693684</v>
      </c>
      <c r="M20" s="28">
        <f>Assumptions!B13</f>
        <v>0.98</v>
      </c>
      <c r="N20" s="28">
        <f>Assumptions!C13</f>
        <v>0.98</v>
      </c>
      <c r="O20" s="28">
        <f>Assumptions!D13</f>
        <v>0.98</v>
      </c>
      <c r="P20" s="28">
        <f>Assumptions!E13</f>
        <v>0.98</v>
      </c>
      <c r="Q20" s="28">
        <f>Assumptions!F13</f>
        <v>0.98</v>
      </c>
    </row>
    <row r="21" spans="1:17" ht="15" customHeight="1" x14ac:dyDescent="0.2">
      <c r="A21" s="8" t="s">
        <v>428</v>
      </c>
      <c r="B21" s="12">
        <v>1179</v>
      </c>
      <c r="C21" s="12">
        <v>1122</v>
      </c>
      <c r="D21" s="12">
        <v>1078</v>
      </c>
      <c r="E21" s="12">
        <v>1078</v>
      </c>
      <c r="F21" s="12">
        <v>1105</v>
      </c>
      <c r="G21" s="12">
        <v>1109</v>
      </c>
      <c r="H21" s="12">
        <v>1129</v>
      </c>
      <c r="I21" s="12">
        <v>1182</v>
      </c>
      <c r="J21" s="12">
        <v>1388</v>
      </c>
      <c r="K21" s="12">
        <v>1524</v>
      </c>
      <c r="L21" s="12">
        <v>1590</v>
      </c>
      <c r="M21" s="22">
        <f>Assumptions!B14</f>
        <v>1647.24</v>
      </c>
      <c r="N21" s="22">
        <f>Assumptions!C14</f>
        <v>1711.48236</v>
      </c>
      <c r="O21" s="22">
        <f>Assumptions!D14</f>
        <v>1773.0957249600001</v>
      </c>
      <c r="P21" s="22">
        <f>Assumptions!E14</f>
        <v>1836.9271710585601</v>
      </c>
      <c r="Q21" s="22">
        <f>Assumptions!F14</f>
        <v>1903.0565492166684</v>
      </c>
    </row>
    <row r="25" spans="1:17" ht="15" customHeight="1" x14ac:dyDescent="0.2">
      <c r="A25" s="3" t="s">
        <v>429</v>
      </c>
    </row>
    <row r="26" spans="1:17" ht="15" customHeight="1" x14ac:dyDescent="0.2">
      <c r="A26" s="8" t="s">
        <v>430</v>
      </c>
      <c r="B26" s="29">
        <v>3.0099999999999998E-2</v>
      </c>
      <c r="C26" s="29">
        <v>2.7799999999999998E-2</v>
      </c>
      <c r="D26" s="29">
        <v>2.6100000000000002E-2</v>
      </c>
      <c r="E26" s="29">
        <v>2.6499999999999999E-2</v>
      </c>
      <c r="F26" s="29">
        <v>2.7400000000000001E-2</v>
      </c>
      <c r="G26" s="29">
        <v>2.58E-2</v>
      </c>
      <c r="H26" s="29">
        <v>2.46E-2</v>
      </c>
      <c r="I26" s="29">
        <v>2.7199999999999998E-2</v>
      </c>
      <c r="J26" s="29">
        <v>0.03</v>
      </c>
      <c r="K26" s="29">
        <v>3.1899999999999998E-2</v>
      </c>
      <c r="L26" s="29">
        <v>3.3500000000000002E-2</v>
      </c>
    </row>
    <row r="27" spans="1:17" ht="15" customHeight="1" x14ac:dyDescent="0.2">
      <c r="A27" s="8" t="s">
        <v>431</v>
      </c>
      <c r="B27" s="29">
        <v>3.0099999999999998E-2</v>
      </c>
      <c r="C27" s="29">
        <v>2.7799999999999998E-2</v>
      </c>
      <c r="D27" s="29">
        <v>2.6100000000000002E-2</v>
      </c>
      <c r="E27" s="29">
        <v>2.6499999999999999E-2</v>
      </c>
      <c r="F27" s="29">
        <v>2.7400000000000001E-2</v>
      </c>
      <c r="G27" s="29">
        <v>2.58E-2</v>
      </c>
      <c r="H27" s="29">
        <v>2.46E-2</v>
      </c>
      <c r="I27" s="29">
        <v>2.7199999999999998E-2</v>
      </c>
      <c r="J27" s="29">
        <v>0.03</v>
      </c>
      <c r="K27" s="29">
        <v>3.1899999999999998E-2</v>
      </c>
      <c r="L27" s="29">
        <v>3.3500000000000002E-2</v>
      </c>
    </row>
    <row r="29" spans="1:17" ht="15" customHeight="1" x14ac:dyDescent="0.2">
      <c r="A29" s="8" t="s">
        <v>71</v>
      </c>
      <c r="B29" s="13">
        <v>32947</v>
      </c>
      <c r="C29" s="13">
        <v>33773</v>
      </c>
      <c r="D29" s="13">
        <v>33187</v>
      </c>
      <c r="E29" s="13">
        <v>32968</v>
      </c>
      <c r="F29" s="13">
        <v>33263</v>
      </c>
      <c r="G29" s="13">
        <v>33396</v>
      </c>
      <c r="H29" s="13">
        <v>33000</v>
      </c>
      <c r="I29" s="13">
        <v>33810</v>
      </c>
      <c r="J29" s="13">
        <v>34029</v>
      </c>
      <c r="K29" s="13">
        <v>34405</v>
      </c>
      <c r="L29" s="13">
        <v>34576</v>
      </c>
      <c r="M29" s="19">
        <f>Assumptions!B51</f>
        <v>34853.777777777774</v>
      </c>
      <c r="N29" s="19">
        <f>Assumptions!C51</f>
        <v>35409.333333333328</v>
      </c>
      <c r="O29" s="19">
        <f>Assumptions!D51</f>
        <v>35687.111111111102</v>
      </c>
      <c r="P29" s="19">
        <f>Assumptions!E51</f>
        <v>35964.888888888876</v>
      </c>
      <c r="Q29" s="19">
        <f>Assumptions!F51</f>
        <v>36242.66666666665</v>
      </c>
    </row>
    <row r="35" spans="1:17" ht="15" customHeight="1" x14ac:dyDescent="0.2">
      <c r="A35" s="3" t="s">
        <v>432</v>
      </c>
    </row>
    <row r="37" spans="1:17" ht="15" customHeight="1" x14ac:dyDescent="0.2">
      <c r="A37" s="8" t="s">
        <v>433</v>
      </c>
      <c r="B37" s="10">
        <v>0.97450000000000003</v>
      </c>
      <c r="C37" s="10">
        <v>0.92800000000000005</v>
      </c>
      <c r="D37" s="10">
        <v>0.876</v>
      </c>
      <c r="E37" s="10">
        <v>0.89900000000000002</v>
      </c>
      <c r="F37" s="10">
        <v>0.93700000000000006</v>
      </c>
      <c r="G37" s="10">
        <v>0.92900000000000005</v>
      </c>
      <c r="H37" s="10">
        <v>0.93500000000000005</v>
      </c>
      <c r="I37" s="10">
        <v>0.95199999999999996</v>
      </c>
      <c r="J37" s="10">
        <v>0.96599999999999997</v>
      </c>
      <c r="K37" s="10">
        <v>0.97499999999999998</v>
      </c>
      <c r="L37" s="10">
        <v>0.97799999999999998</v>
      </c>
      <c r="M37" s="28">
        <f>Assumptions!B13</f>
        <v>0.98</v>
      </c>
      <c r="N37" s="28">
        <f>Assumptions!C13</f>
        <v>0.98</v>
      </c>
      <c r="O37" s="28">
        <f>Assumptions!D13</f>
        <v>0.98</v>
      </c>
      <c r="P37" s="28">
        <f>Assumptions!E13</f>
        <v>0.98</v>
      </c>
      <c r="Q37" s="28">
        <f>Assumptions!F13</f>
        <v>0.98</v>
      </c>
    </row>
    <row r="38" spans="1:17" ht="15" customHeight="1" x14ac:dyDescent="0.2">
      <c r="A38" s="8" t="s">
        <v>434</v>
      </c>
      <c r="B38" s="10">
        <v>0.98629999999999995</v>
      </c>
      <c r="C38" s="10">
        <v>0.95399999999999996</v>
      </c>
      <c r="D38" s="10">
        <v>0.91200000000000003</v>
      </c>
      <c r="E38" s="10">
        <v>0.92800000000000005</v>
      </c>
      <c r="F38" s="10">
        <v>0.95599999999999996</v>
      </c>
      <c r="G38" s="10">
        <v>0.94299999999999995</v>
      </c>
      <c r="H38" s="10">
        <v>0.95</v>
      </c>
      <c r="I38" s="10">
        <v>0.97</v>
      </c>
      <c r="J38" s="10">
        <v>0.98099999999999998</v>
      </c>
      <c r="K38" s="10">
        <v>0.98299999999999998</v>
      </c>
      <c r="L38" s="10">
        <v>0.98499999999999999</v>
      </c>
      <c r="M38" s="28">
        <f>Assumptions!B13</f>
        <v>0.98</v>
      </c>
      <c r="N38" s="28">
        <f>Assumptions!C13</f>
        <v>0.98</v>
      </c>
      <c r="O38" s="28">
        <f>Assumptions!D13</f>
        <v>0.98</v>
      </c>
      <c r="P38" s="28">
        <f>Assumptions!E13</f>
        <v>0.98</v>
      </c>
      <c r="Q38" s="28">
        <f>Assumptions!F13</f>
        <v>0.98</v>
      </c>
    </row>
    <row r="39" spans="1:17" ht="15" customHeight="1" x14ac:dyDescent="0.2">
      <c r="A39" s="8" t="s">
        <v>435</v>
      </c>
      <c r="B39" s="10">
        <v>0.91</v>
      </c>
      <c r="C39" s="10">
        <v>0.85</v>
      </c>
      <c r="D39" s="10">
        <v>0.82</v>
      </c>
      <c r="E39" s="10">
        <v>0.85</v>
      </c>
      <c r="F39" s="10">
        <v>0.88</v>
      </c>
      <c r="G39" s="10">
        <v>0.87</v>
      </c>
      <c r="H39" s="10">
        <v>0.89</v>
      </c>
      <c r="I39" s="10">
        <v>0.92</v>
      </c>
      <c r="J39" s="10">
        <v>0.95</v>
      </c>
      <c r="K39" s="10">
        <v>0.96</v>
      </c>
      <c r="L39" s="10">
        <v>0.97</v>
      </c>
      <c r="M39" s="28">
        <f>Assumptions!B13</f>
        <v>0.98</v>
      </c>
      <c r="N39" s="28">
        <f>Assumptions!C13</f>
        <v>0.98</v>
      </c>
      <c r="O39" s="28">
        <f>Assumptions!D13</f>
        <v>0.98</v>
      </c>
      <c r="P39" s="28">
        <f>Assumptions!E13</f>
        <v>0.98</v>
      </c>
      <c r="Q39" s="28">
        <f>Assumptions!F13</f>
        <v>0.98</v>
      </c>
    </row>
    <row r="40" spans="1:17" ht="15" customHeight="1" x14ac:dyDescent="0.2">
      <c r="A40" s="8" t="s">
        <v>436</v>
      </c>
      <c r="B40" s="10">
        <v>0.96099999999999997</v>
      </c>
      <c r="C40" s="10">
        <v>0.93500000000000005</v>
      </c>
      <c r="D40" s="10">
        <v>0.92</v>
      </c>
      <c r="E40" s="10">
        <v>0.93</v>
      </c>
      <c r="F40" s="10">
        <v>0.94</v>
      </c>
      <c r="G40" s="10">
        <v>0.93500000000000005</v>
      </c>
      <c r="H40" s="10">
        <v>0.94199999999999995</v>
      </c>
      <c r="I40" s="10">
        <v>0.95499999999999996</v>
      </c>
      <c r="J40" s="10">
        <v>0.96499999999999997</v>
      </c>
      <c r="K40" s="10">
        <v>0.97</v>
      </c>
      <c r="L40" s="10">
        <v>0.97499999999999998</v>
      </c>
      <c r="M40" s="28">
        <f>Assumptions!B13</f>
        <v>0.98</v>
      </c>
      <c r="N40" s="28">
        <f>Assumptions!C13</f>
        <v>0.98</v>
      </c>
      <c r="O40" s="28">
        <f>Assumptions!D13</f>
        <v>0.98</v>
      </c>
      <c r="P40" s="28">
        <f>Assumptions!E13</f>
        <v>0.98</v>
      </c>
      <c r="Q40" s="28">
        <f>Assumptions!F13</f>
        <v>0.98</v>
      </c>
    </row>
    <row r="41" spans="1:17" ht="15" customHeight="1" x14ac:dyDescent="0.2">
      <c r="A41" s="8" t="s">
        <v>437</v>
      </c>
      <c r="B41" s="10">
        <v>0.97299999999999998</v>
      </c>
      <c r="C41" s="10">
        <v>0.97</v>
      </c>
      <c r="D41" s="10">
        <v>0.97499999999999998</v>
      </c>
      <c r="E41" s="10">
        <v>0.97799999999999998</v>
      </c>
      <c r="F41" s="10">
        <v>0.98</v>
      </c>
      <c r="G41" s="10">
        <v>0.98099999999999998</v>
      </c>
      <c r="H41" s="10">
        <v>0.98299999999999998</v>
      </c>
      <c r="I41" s="10">
        <v>0.98499999999999999</v>
      </c>
      <c r="J41" s="10">
        <v>0.98699999999999999</v>
      </c>
      <c r="K41" s="10">
        <v>0.98799999999999999</v>
      </c>
      <c r="L41" s="10">
        <v>0.98899999999999999</v>
      </c>
      <c r="M41" s="28">
        <f>Assumptions!B13</f>
        <v>0.98</v>
      </c>
      <c r="N41" s="28">
        <f>Assumptions!C13</f>
        <v>0.98</v>
      </c>
      <c r="O41" s="28">
        <f>Assumptions!D13</f>
        <v>0.98</v>
      </c>
      <c r="P41" s="28">
        <f>Assumptions!E13</f>
        <v>0.98</v>
      </c>
      <c r="Q41" s="28">
        <f>Assumptions!F13</f>
        <v>0.98</v>
      </c>
    </row>
    <row r="42" spans="1:17" ht="15" customHeight="1" x14ac:dyDescent="0.2">
      <c r="A42" s="8" t="s">
        <v>438</v>
      </c>
      <c r="B42" s="10">
        <v>0.97670000000000001</v>
      </c>
      <c r="C42" s="10">
        <v>0.96399999999999997</v>
      </c>
      <c r="D42" s="10">
        <v>0.95799999999999996</v>
      </c>
      <c r="E42" s="10">
        <v>0.96</v>
      </c>
      <c r="F42" s="10">
        <v>0.96499999999999997</v>
      </c>
      <c r="G42" s="10">
        <v>0.96799999999999997</v>
      </c>
      <c r="H42" s="10">
        <v>0.97199999999999998</v>
      </c>
      <c r="I42" s="10">
        <v>0.97799999999999998</v>
      </c>
      <c r="J42" s="10">
        <v>0.98299999999999998</v>
      </c>
      <c r="K42" s="10">
        <v>0.98499999999999999</v>
      </c>
      <c r="L42" s="10">
        <v>0.98699999999999999</v>
      </c>
      <c r="M42" s="28">
        <f>Assumptions!B13</f>
        <v>0.98</v>
      </c>
      <c r="N42" s="28">
        <f>Assumptions!C13</f>
        <v>0.98</v>
      </c>
      <c r="O42" s="28">
        <f>Assumptions!D13</f>
        <v>0.98</v>
      </c>
      <c r="P42" s="28">
        <f>Assumptions!E13</f>
        <v>0.98</v>
      </c>
      <c r="Q42" s="28">
        <f>Assumptions!F13</f>
        <v>0.98</v>
      </c>
    </row>
    <row r="43" spans="1:17" ht="15" customHeight="1" x14ac:dyDescent="0.2">
      <c r="A43" s="8" t="s">
        <v>439</v>
      </c>
      <c r="B43" s="9">
        <f>B37</f>
        <v>0.97450000000000003</v>
      </c>
      <c r="C43" s="9">
        <f>B37</f>
        <v>0.97450000000000003</v>
      </c>
      <c r="D43" s="9">
        <f>B37</f>
        <v>0.97450000000000003</v>
      </c>
      <c r="E43" s="9">
        <f>B37</f>
        <v>0.97450000000000003</v>
      </c>
      <c r="F43" s="9">
        <f>B37</f>
        <v>0.97450000000000003</v>
      </c>
      <c r="G43" s="9">
        <f>B37</f>
        <v>0.97450000000000003</v>
      </c>
      <c r="H43" s="9">
        <f>B37</f>
        <v>0.97450000000000003</v>
      </c>
      <c r="I43" s="9">
        <f>B37</f>
        <v>0.97450000000000003</v>
      </c>
      <c r="J43" s="9">
        <f>B37</f>
        <v>0.97450000000000003</v>
      </c>
      <c r="K43" s="9">
        <f>B37</f>
        <v>0.97450000000000003</v>
      </c>
      <c r="L43" s="9">
        <f>B37</f>
        <v>0.97450000000000003</v>
      </c>
    </row>
    <row r="45" spans="1:17" ht="15" customHeight="1" x14ac:dyDescent="0.2">
      <c r="A45" s="3" t="s">
        <v>440</v>
      </c>
      <c r="M45" s="22">
        <f>L45*(1+Assumptions!B8)</f>
        <v>0</v>
      </c>
      <c r="N45" s="22">
        <f>M45*(1+Assumptions!C8)</f>
        <v>0</v>
      </c>
      <c r="O45" s="22">
        <f>N45*(1+Assumptions!D8)</f>
        <v>0</v>
      </c>
      <c r="P45" s="22">
        <f>O45*(1+Assumptions!E8)</f>
        <v>0</v>
      </c>
      <c r="Q45" s="22">
        <f>P45*(1+Assumptions!F8)</f>
        <v>0</v>
      </c>
    </row>
    <row r="46" spans="1:17" ht="15" customHeight="1" x14ac:dyDescent="0.2">
      <c r="A46" s="8" t="s">
        <v>433</v>
      </c>
      <c r="B46" s="12">
        <v>1270</v>
      </c>
      <c r="C46" s="12">
        <v>1180</v>
      </c>
      <c r="D46" s="12">
        <v>1060</v>
      </c>
      <c r="E46" s="12">
        <v>1040</v>
      </c>
      <c r="F46" s="12">
        <v>1060</v>
      </c>
      <c r="G46" s="12">
        <v>1065</v>
      </c>
      <c r="H46" s="12">
        <v>1085</v>
      </c>
      <c r="I46" s="12">
        <v>1140</v>
      </c>
      <c r="J46" s="12">
        <v>1350</v>
      </c>
      <c r="K46" s="12">
        <v>1490</v>
      </c>
      <c r="L46" s="12">
        <v>1560</v>
      </c>
      <c r="M46" s="22">
        <f>L46*(1+Assumptions!B8)</f>
        <v>1616.16</v>
      </c>
      <c r="N46" s="22">
        <f>M46*(1+Assumptions!C8)</f>
        <v>1679.1902399999999</v>
      </c>
      <c r="O46" s="22">
        <f>N46*(1+Assumptions!D8)</f>
        <v>1739.6410886399999</v>
      </c>
      <c r="P46" s="22">
        <f>O46*(1+Assumptions!E8)</f>
        <v>1802.26816783104</v>
      </c>
      <c r="Q46" s="22">
        <f>P46*(1+Assumptions!F8)</f>
        <v>1867.1498218729575</v>
      </c>
    </row>
    <row r="47" spans="1:17" ht="15" customHeight="1" x14ac:dyDescent="0.2">
      <c r="A47" s="8" t="s">
        <v>434</v>
      </c>
      <c r="B47" s="12">
        <v>1366</v>
      </c>
      <c r="C47" s="12">
        <v>1240</v>
      </c>
      <c r="D47" s="12">
        <v>1100</v>
      </c>
      <c r="E47" s="12">
        <v>1080</v>
      </c>
      <c r="F47" s="12">
        <v>1120</v>
      </c>
      <c r="G47" s="12">
        <v>1130</v>
      </c>
      <c r="H47" s="12">
        <v>1160</v>
      </c>
      <c r="I47" s="12">
        <v>1230</v>
      </c>
      <c r="J47" s="12">
        <v>1460</v>
      </c>
      <c r="K47" s="12">
        <v>1610</v>
      </c>
      <c r="L47" s="12">
        <v>1680</v>
      </c>
      <c r="M47" s="22">
        <f>L47*(1+Assumptions!B8)</f>
        <v>1740.48</v>
      </c>
      <c r="N47" s="22">
        <f>M47*(1+Assumptions!C8)</f>
        <v>1808.3587199999999</v>
      </c>
      <c r="O47" s="22">
        <f>N47*(1+Assumptions!D8)</f>
        <v>1873.45963392</v>
      </c>
      <c r="P47" s="22">
        <f>O47*(1+Assumptions!E8)</f>
        <v>1940.9041807411199</v>
      </c>
      <c r="Q47" s="22">
        <f>P47*(1+Assumptions!F8)</f>
        <v>2010.7767312478004</v>
      </c>
    </row>
    <row r="48" spans="1:17" ht="15" customHeight="1" x14ac:dyDescent="0.2">
      <c r="A48" s="8" t="s">
        <v>435</v>
      </c>
      <c r="B48" s="12">
        <v>1100</v>
      </c>
      <c r="C48" s="12">
        <v>1000</v>
      </c>
      <c r="D48" s="12">
        <v>920</v>
      </c>
      <c r="E48" s="12">
        <v>900</v>
      </c>
      <c r="F48" s="12">
        <v>930</v>
      </c>
      <c r="G48" s="12">
        <v>940</v>
      </c>
      <c r="H48" s="12">
        <v>960</v>
      </c>
      <c r="I48" s="12">
        <v>1010</v>
      </c>
      <c r="J48" s="12">
        <v>1200</v>
      </c>
      <c r="K48" s="12">
        <v>1330</v>
      </c>
      <c r="L48" s="12">
        <v>1400</v>
      </c>
      <c r="M48" s="22">
        <f>L48*(1+Assumptions!B8)</f>
        <v>1450.4</v>
      </c>
      <c r="N48" s="22">
        <f>M48*(1+Assumptions!C8)</f>
        <v>1506.9656</v>
      </c>
      <c r="O48" s="22">
        <f>N48*(1+Assumptions!D8)</f>
        <v>1561.2163616</v>
      </c>
      <c r="P48" s="22">
        <f>O48*(1+Assumptions!E8)</f>
        <v>1617.4201506176</v>
      </c>
      <c r="Q48" s="22">
        <f>P48*(1+Assumptions!F8)</f>
        <v>1675.6472760398337</v>
      </c>
    </row>
    <row r="49" spans="1:17" ht="15" customHeight="1" x14ac:dyDescent="0.2">
      <c r="A49" s="8" t="s">
        <v>436</v>
      </c>
      <c r="B49" s="12">
        <v>1119</v>
      </c>
      <c r="C49" s="12">
        <v>1080</v>
      </c>
      <c r="D49" s="12">
        <v>1040</v>
      </c>
      <c r="E49" s="12">
        <v>1030</v>
      </c>
      <c r="F49" s="12">
        <v>1040</v>
      </c>
      <c r="G49" s="12">
        <v>1050</v>
      </c>
      <c r="H49" s="12">
        <v>1060</v>
      </c>
      <c r="I49" s="12">
        <v>1090</v>
      </c>
      <c r="J49" s="12">
        <v>1230</v>
      </c>
      <c r="K49" s="12">
        <v>1340</v>
      </c>
      <c r="L49" s="12">
        <v>1400</v>
      </c>
      <c r="M49" s="22">
        <f>L49*(1+Assumptions!B8)</f>
        <v>1450.4</v>
      </c>
      <c r="N49" s="22">
        <f>M49*(1+Assumptions!C8)</f>
        <v>1506.9656</v>
      </c>
      <c r="O49" s="22">
        <f>N49*(1+Assumptions!D8)</f>
        <v>1561.2163616</v>
      </c>
      <c r="P49" s="22">
        <f>O49*(1+Assumptions!E8)</f>
        <v>1617.4201506176</v>
      </c>
      <c r="Q49" s="22">
        <f>P49*(1+Assumptions!F8)</f>
        <v>1675.6472760398337</v>
      </c>
    </row>
    <row r="50" spans="1:17" ht="15" customHeight="1" x14ac:dyDescent="0.2">
      <c r="A50" s="8" t="s">
        <v>437</v>
      </c>
      <c r="B50" s="12">
        <v>859</v>
      </c>
      <c r="C50" s="12">
        <v>870</v>
      </c>
      <c r="D50" s="12">
        <v>890</v>
      </c>
      <c r="E50" s="12">
        <v>910</v>
      </c>
      <c r="F50" s="12">
        <v>940</v>
      </c>
      <c r="G50" s="12">
        <v>960</v>
      </c>
      <c r="H50" s="12">
        <v>990</v>
      </c>
      <c r="I50" s="12">
        <v>1050</v>
      </c>
      <c r="J50" s="12">
        <v>1200</v>
      </c>
      <c r="K50" s="12">
        <v>1350</v>
      </c>
      <c r="L50" s="12">
        <v>1430</v>
      </c>
      <c r="M50" s="22">
        <f>L50*(1+Assumptions!B8)</f>
        <v>1481.48</v>
      </c>
      <c r="N50" s="22">
        <f>M50*(1+Assumptions!C8)</f>
        <v>1539.2577199999998</v>
      </c>
      <c r="O50" s="22">
        <f>N50*(1+Assumptions!D8)</f>
        <v>1594.67099792</v>
      </c>
      <c r="P50" s="22">
        <f>O50*(1+Assumptions!E8)</f>
        <v>1652.0791538451201</v>
      </c>
      <c r="Q50" s="22">
        <f>P50*(1+Assumptions!F8)</f>
        <v>1711.5540033835446</v>
      </c>
    </row>
    <row r="51" spans="1:17" ht="15" customHeight="1" x14ac:dyDescent="0.2">
      <c r="A51" s="8" t="s">
        <v>438</v>
      </c>
      <c r="B51" s="12">
        <v>1024</v>
      </c>
      <c r="C51" s="12">
        <v>1020</v>
      </c>
      <c r="D51" s="12">
        <v>1010</v>
      </c>
      <c r="E51" s="12">
        <v>1010</v>
      </c>
      <c r="F51" s="12">
        <v>1020</v>
      </c>
      <c r="G51" s="12">
        <v>1030</v>
      </c>
      <c r="H51" s="12">
        <v>1050</v>
      </c>
      <c r="I51" s="12">
        <v>1100</v>
      </c>
      <c r="J51" s="12">
        <v>1250</v>
      </c>
      <c r="K51" s="12">
        <v>1380</v>
      </c>
      <c r="L51" s="12">
        <v>1450</v>
      </c>
      <c r="M51" s="30">
        <f>L51*(1+Assumptions!B8)</f>
        <v>1502.2</v>
      </c>
      <c r="N51" s="30">
        <f>M51*(1+Assumptions!C8)</f>
        <v>1560.7857999999999</v>
      </c>
      <c r="O51" s="30">
        <f>N51*(1+Assumptions!D8)</f>
        <v>1616.9740887999999</v>
      </c>
      <c r="P51" s="30">
        <f>O51*(1+Assumptions!E8)</f>
        <v>1675.1851559967999</v>
      </c>
      <c r="Q51" s="30">
        <f>P51*(1+Assumptions!F8)</f>
        <v>1735.4918216126848</v>
      </c>
    </row>
    <row r="53" spans="1:17" ht="15" customHeight="1" x14ac:dyDescent="0.2">
      <c r="M53" s="14">
        <f t="shared" ref="M53:Q58" si="1">L53</f>
        <v>0</v>
      </c>
      <c r="N53" s="14">
        <f t="shared" si="1"/>
        <v>0</v>
      </c>
      <c r="O53" s="14">
        <f t="shared" si="1"/>
        <v>0</v>
      </c>
      <c r="P53" s="14">
        <f t="shared" si="1"/>
        <v>0</v>
      </c>
      <c r="Q53" s="14">
        <f t="shared" si="1"/>
        <v>0</v>
      </c>
    </row>
    <row r="54" spans="1:17" ht="15" customHeight="1" x14ac:dyDescent="0.2">
      <c r="A54" s="3" t="s">
        <v>441</v>
      </c>
      <c r="M54" s="14">
        <f t="shared" si="1"/>
        <v>0</v>
      </c>
      <c r="N54" s="14">
        <f t="shared" si="1"/>
        <v>0</v>
      </c>
      <c r="O54" s="14">
        <f t="shared" si="1"/>
        <v>0</v>
      </c>
      <c r="P54" s="14">
        <f t="shared" si="1"/>
        <v>0</v>
      </c>
      <c r="Q54" s="14">
        <f t="shared" si="1"/>
        <v>0</v>
      </c>
    </row>
    <row r="55" spans="1:17" ht="15" customHeight="1" x14ac:dyDescent="0.2">
      <c r="A55" s="8" t="s">
        <v>433</v>
      </c>
      <c r="B55" s="13">
        <v>12397</v>
      </c>
      <c r="C55" s="13">
        <v>12400</v>
      </c>
      <c r="D55" s="13">
        <v>12300</v>
      </c>
      <c r="E55" s="13">
        <v>11957</v>
      </c>
      <c r="F55" s="13">
        <v>12100</v>
      </c>
      <c r="G55" s="13">
        <v>12200</v>
      </c>
      <c r="H55" s="13">
        <v>12000</v>
      </c>
      <c r="I55" s="13">
        <v>12200</v>
      </c>
      <c r="J55" s="13">
        <v>12300</v>
      </c>
      <c r="K55" s="13">
        <v>12400</v>
      </c>
      <c r="L55" s="13">
        <v>12500</v>
      </c>
      <c r="M55" s="14">
        <f t="shared" si="1"/>
        <v>12500</v>
      </c>
      <c r="N55" s="14">
        <f t="shared" si="1"/>
        <v>12500</v>
      </c>
      <c r="O55" s="14">
        <f t="shared" si="1"/>
        <v>12500</v>
      </c>
      <c r="P55" s="14">
        <f t="shared" si="1"/>
        <v>12500</v>
      </c>
      <c r="Q55" s="14">
        <f t="shared" si="1"/>
        <v>12500</v>
      </c>
    </row>
    <row r="56" spans="1:17" ht="15" customHeight="1" x14ac:dyDescent="0.2">
      <c r="A56" s="8" t="s">
        <v>434</v>
      </c>
      <c r="B56" s="13">
        <v>5419</v>
      </c>
      <c r="C56" s="13">
        <v>5400</v>
      </c>
      <c r="D56" s="13">
        <v>5350</v>
      </c>
      <c r="E56" s="13">
        <v>5180</v>
      </c>
      <c r="F56" s="13">
        <v>5300</v>
      </c>
      <c r="G56" s="13">
        <v>5400</v>
      </c>
      <c r="H56" s="13">
        <v>5350</v>
      </c>
      <c r="I56" s="13">
        <v>5400</v>
      </c>
      <c r="J56" s="13">
        <v>5500</v>
      </c>
      <c r="K56" s="13">
        <v>5600</v>
      </c>
      <c r="L56" s="13">
        <v>5700</v>
      </c>
      <c r="M56" s="14">
        <f t="shared" si="1"/>
        <v>5700</v>
      </c>
      <c r="N56" s="14">
        <f t="shared" si="1"/>
        <v>5700</v>
      </c>
      <c r="O56" s="14">
        <f t="shared" si="1"/>
        <v>5700</v>
      </c>
      <c r="P56" s="14">
        <f t="shared" si="1"/>
        <v>5700</v>
      </c>
      <c r="Q56" s="14">
        <f t="shared" si="1"/>
        <v>5700</v>
      </c>
    </row>
    <row r="57" spans="1:17" ht="15" customHeight="1" x14ac:dyDescent="0.2">
      <c r="A57" s="8" t="s">
        <v>435</v>
      </c>
      <c r="B57" s="13">
        <v>1636</v>
      </c>
      <c r="C57" s="13">
        <v>1700</v>
      </c>
      <c r="D57" s="13">
        <v>1680</v>
      </c>
      <c r="E57" s="13">
        <v>1620</v>
      </c>
      <c r="F57" s="13">
        <v>1650</v>
      </c>
      <c r="G57" s="13">
        <v>1670</v>
      </c>
      <c r="H57" s="13">
        <v>1650</v>
      </c>
      <c r="I57" s="13">
        <v>1680</v>
      </c>
      <c r="J57" s="13">
        <v>1700</v>
      </c>
      <c r="K57" s="13">
        <v>1750</v>
      </c>
      <c r="L57" s="13">
        <v>1800</v>
      </c>
      <c r="M57" s="14">
        <f t="shared" si="1"/>
        <v>1800</v>
      </c>
      <c r="N57" s="14">
        <f t="shared" si="1"/>
        <v>1800</v>
      </c>
      <c r="O57" s="14">
        <f t="shared" si="1"/>
        <v>1800</v>
      </c>
      <c r="P57" s="14">
        <f t="shared" si="1"/>
        <v>1800</v>
      </c>
      <c r="Q57" s="14">
        <f t="shared" si="1"/>
        <v>1800</v>
      </c>
    </row>
    <row r="58" spans="1:17" ht="15" customHeight="1" x14ac:dyDescent="0.2">
      <c r="A58" s="8" t="s">
        <v>436</v>
      </c>
      <c r="B58" s="13">
        <v>4610</v>
      </c>
      <c r="C58" s="13">
        <v>4600</v>
      </c>
      <c r="D58" s="13">
        <v>4580</v>
      </c>
      <c r="E58" s="13">
        <v>4560</v>
      </c>
      <c r="F58" s="13">
        <v>4550</v>
      </c>
      <c r="G58" s="13">
        <v>4530</v>
      </c>
      <c r="H58" s="13">
        <v>4500</v>
      </c>
      <c r="I58" s="13">
        <v>4480</v>
      </c>
      <c r="J58" s="13">
        <v>4460</v>
      </c>
      <c r="K58" s="13">
        <v>4440</v>
      </c>
      <c r="L58" s="13">
        <v>4400</v>
      </c>
      <c r="M58" s="14">
        <f t="shared" si="1"/>
        <v>4400</v>
      </c>
      <c r="N58" s="14">
        <f t="shared" si="1"/>
        <v>4400</v>
      </c>
      <c r="O58" s="14">
        <f t="shared" si="1"/>
        <v>4400</v>
      </c>
      <c r="P58" s="14">
        <f t="shared" si="1"/>
        <v>4400</v>
      </c>
      <c r="Q58" s="14">
        <f t="shared" si="1"/>
        <v>4400</v>
      </c>
    </row>
    <row r="59" spans="1:17" ht="15" customHeight="1" x14ac:dyDescent="0.2">
      <c r="A59" s="8" t="s">
        <v>437</v>
      </c>
      <c r="B59" s="13">
        <v>2585</v>
      </c>
      <c r="C59" s="13">
        <v>2600</v>
      </c>
      <c r="D59" s="13">
        <v>2600</v>
      </c>
      <c r="E59" s="13">
        <v>2585</v>
      </c>
      <c r="F59" s="13">
        <v>2600</v>
      </c>
      <c r="G59" s="13">
        <v>2600</v>
      </c>
      <c r="H59" s="13">
        <v>2600</v>
      </c>
      <c r="I59" s="13">
        <v>2600</v>
      </c>
      <c r="J59" s="13">
        <v>2600</v>
      </c>
      <c r="K59" s="13">
        <v>2650</v>
      </c>
      <c r="L59" s="13">
        <v>2700</v>
      </c>
      <c r="M59" s="31">
        <v>2700</v>
      </c>
      <c r="N59" s="31">
        <v>2700</v>
      </c>
      <c r="O59" s="31">
        <v>2700</v>
      </c>
      <c r="P59" s="31">
        <v>2700</v>
      </c>
      <c r="Q59" s="31">
        <v>2700</v>
      </c>
    </row>
    <row r="60" spans="1:17" ht="15" customHeight="1" x14ac:dyDescent="0.2">
      <c r="A60" s="8" t="s">
        <v>438</v>
      </c>
      <c r="B60" s="13">
        <v>6000</v>
      </c>
      <c r="C60" s="13">
        <v>6100</v>
      </c>
      <c r="D60" s="13">
        <v>6100</v>
      </c>
      <c r="E60" s="13">
        <v>6000</v>
      </c>
      <c r="F60" s="13">
        <v>6000</v>
      </c>
      <c r="G60" s="13">
        <v>6100</v>
      </c>
      <c r="H60" s="13">
        <v>5900</v>
      </c>
      <c r="I60" s="13">
        <v>6000</v>
      </c>
      <c r="J60" s="13">
        <v>6100</v>
      </c>
      <c r="K60" s="13">
        <v>6200</v>
      </c>
      <c r="L60" s="13">
        <v>6200</v>
      </c>
      <c r="M60" s="31">
        <v>6200</v>
      </c>
      <c r="N60" s="31">
        <v>6200</v>
      </c>
      <c r="O60" s="31">
        <v>6200</v>
      </c>
      <c r="P60" s="31">
        <v>6200</v>
      </c>
      <c r="Q60" s="31">
        <v>6200</v>
      </c>
    </row>
    <row r="61" spans="1:17" ht="15" customHeight="1" x14ac:dyDescent="0.2">
      <c r="A61" s="8" t="s">
        <v>442</v>
      </c>
      <c r="B61" s="14">
        <f t="shared" ref="B61:L61" si="2">SUM(B55:B60)</f>
        <v>32647</v>
      </c>
      <c r="C61" s="14">
        <f t="shared" si="2"/>
        <v>32800</v>
      </c>
      <c r="D61" s="14">
        <f t="shared" si="2"/>
        <v>32610</v>
      </c>
      <c r="E61" s="14">
        <f t="shared" si="2"/>
        <v>31902</v>
      </c>
      <c r="F61" s="14">
        <f t="shared" si="2"/>
        <v>32200</v>
      </c>
      <c r="G61" s="14">
        <f t="shared" si="2"/>
        <v>32500</v>
      </c>
      <c r="H61" s="14">
        <f t="shared" si="2"/>
        <v>32000</v>
      </c>
      <c r="I61" s="14">
        <f t="shared" si="2"/>
        <v>32360</v>
      </c>
      <c r="J61" s="14">
        <f t="shared" si="2"/>
        <v>32660</v>
      </c>
      <c r="K61" s="14">
        <f t="shared" si="2"/>
        <v>33040</v>
      </c>
      <c r="L61" s="14">
        <f t="shared" si="2"/>
        <v>33300</v>
      </c>
      <c r="M61" s="19">
        <f>L61*(1+Assumptions!B8)</f>
        <v>34498.800000000003</v>
      </c>
      <c r="N61" s="19">
        <f>M61*(1+Assumptions!C8)</f>
        <v>35844.253199999999</v>
      </c>
      <c r="O61" s="19">
        <f>N61*(1+Assumptions!D8)</f>
        <v>37134.6463152</v>
      </c>
      <c r="P61" s="19">
        <f>O61*(1+Assumptions!E8)</f>
        <v>38471.493582547198</v>
      </c>
      <c r="Q61" s="19">
        <f>P61*(1+Assumptions!F8)</f>
        <v>39856.467351518899</v>
      </c>
    </row>
    <row r="62" spans="1:17" ht="15" customHeight="1" x14ac:dyDescent="0.2">
      <c r="M62" s="19">
        <f>L62*(1+Assumptions!B8)</f>
        <v>0</v>
      </c>
      <c r="N62" s="19">
        <f>M62*(1+Assumptions!C8)</f>
        <v>0</v>
      </c>
      <c r="O62" s="19">
        <f>N62*(1+Assumptions!D8)</f>
        <v>0</v>
      </c>
      <c r="P62" s="19">
        <f>O62*(1+Assumptions!E8)</f>
        <v>0</v>
      </c>
      <c r="Q62" s="19">
        <f>P62*(1+Assumptions!F8)</f>
        <v>0</v>
      </c>
    </row>
    <row r="63" spans="1:17" ht="15" customHeight="1" x14ac:dyDescent="0.2">
      <c r="A63" s="3" t="s">
        <v>443</v>
      </c>
      <c r="M63" s="19">
        <f>L63*(1+Assumptions!B8)</f>
        <v>0</v>
      </c>
      <c r="N63" s="19">
        <f>M63*(1+Assumptions!C8)</f>
        <v>0</v>
      </c>
      <c r="O63" s="19">
        <f>N63*(1+Assumptions!D8)</f>
        <v>0</v>
      </c>
      <c r="P63" s="19">
        <f>O63*(1+Assumptions!E8)</f>
        <v>0</v>
      </c>
      <c r="Q63" s="19">
        <f>P63*(1+Assumptions!F8)</f>
        <v>0</v>
      </c>
    </row>
    <row r="64" spans="1:17" ht="15" customHeight="1" x14ac:dyDescent="0.2">
      <c r="A64" s="8" t="s">
        <v>433</v>
      </c>
      <c r="B64" s="13">
        <v>122000</v>
      </c>
      <c r="C64" s="13">
        <v>98000</v>
      </c>
      <c r="D64" s="13">
        <v>72000</v>
      </c>
      <c r="E64" s="13">
        <v>78000</v>
      </c>
      <c r="F64" s="13">
        <v>96000</v>
      </c>
      <c r="G64" s="13">
        <v>100000</v>
      </c>
      <c r="H64" s="13">
        <v>100000</v>
      </c>
      <c r="I64" s="13">
        <v>108000</v>
      </c>
      <c r="J64" s="13">
        <v>130000</v>
      </c>
      <c r="K64" s="13">
        <v>154000</v>
      </c>
      <c r="L64" s="13">
        <v>170000</v>
      </c>
      <c r="M64" s="19">
        <f>L64*(1+Assumptions!B8)</f>
        <v>176120</v>
      </c>
      <c r="N64" s="19">
        <f>M64*(1+Assumptions!C8)</f>
        <v>182988.68</v>
      </c>
      <c r="O64" s="19">
        <f>N64*(1+Assumptions!D8)</f>
        <v>189576.27247999999</v>
      </c>
      <c r="P64" s="19">
        <f>O64*(1+Assumptions!E8)</f>
        <v>196401.01828927998</v>
      </c>
      <c r="Q64" s="19">
        <f>P64*(1+Assumptions!F8)</f>
        <v>203471.45494769406</v>
      </c>
    </row>
    <row r="65" spans="1:17" ht="15" customHeight="1" x14ac:dyDescent="0.2">
      <c r="A65" s="8" t="s">
        <v>434</v>
      </c>
      <c r="B65" s="13">
        <v>63000</v>
      </c>
      <c r="C65" s="13">
        <v>49000</v>
      </c>
      <c r="D65" s="13">
        <v>34000</v>
      </c>
      <c r="E65" s="13">
        <v>36000</v>
      </c>
      <c r="F65" s="13">
        <v>46000</v>
      </c>
      <c r="G65" s="13">
        <v>48000</v>
      </c>
      <c r="H65" s="13">
        <v>49000</v>
      </c>
      <c r="I65" s="13">
        <v>54000</v>
      </c>
      <c r="J65" s="13">
        <v>68000</v>
      </c>
      <c r="K65" s="13">
        <v>82000</v>
      </c>
      <c r="L65" s="13">
        <v>93000</v>
      </c>
      <c r="M65" s="19">
        <f>L65*(1+Assumptions!B8)</f>
        <v>96348</v>
      </c>
      <c r="N65" s="19">
        <f>M65*(1+Assumptions!C8)</f>
        <v>100105.57199999999</v>
      </c>
      <c r="O65" s="19">
        <f>N65*(1+Assumptions!D8)</f>
        <v>103709.37259199999</v>
      </c>
      <c r="P65" s="19">
        <f>O65*(1+Assumptions!E8)</f>
        <v>107442.91000531199</v>
      </c>
      <c r="Q65" s="19">
        <f>P65*(1+Assumptions!F8)</f>
        <v>111310.85476550323</v>
      </c>
    </row>
    <row r="66" spans="1:17" ht="15" customHeight="1" x14ac:dyDescent="0.2">
      <c r="A66" s="8" t="s">
        <v>435</v>
      </c>
      <c r="B66" s="13">
        <v>4600</v>
      </c>
      <c r="C66" s="13">
        <v>3500</v>
      </c>
      <c r="D66" s="13">
        <v>2800</v>
      </c>
      <c r="E66" s="13">
        <v>3000</v>
      </c>
      <c r="F66" s="13">
        <v>3500</v>
      </c>
      <c r="G66" s="13">
        <v>3600</v>
      </c>
      <c r="H66" s="13">
        <v>3700</v>
      </c>
      <c r="I66" s="13">
        <v>4000</v>
      </c>
      <c r="J66" s="13">
        <v>5000</v>
      </c>
      <c r="K66" s="13">
        <v>6000</v>
      </c>
      <c r="L66" s="13">
        <v>7000</v>
      </c>
      <c r="M66" s="19">
        <f>L66*(1+Assumptions!B8)</f>
        <v>7252</v>
      </c>
      <c r="N66" s="19">
        <f>M66*(1+Assumptions!C8)</f>
        <v>7534.8279999999995</v>
      </c>
      <c r="O66" s="19">
        <f>N66*(1+Assumptions!D8)</f>
        <v>7806.0818079999999</v>
      </c>
      <c r="P66" s="19">
        <f>O66*(1+Assumptions!E8)</f>
        <v>8087.1007530880006</v>
      </c>
      <c r="Q66" s="19">
        <f>P66*(1+Assumptions!F8)</f>
        <v>8378.2363801991687</v>
      </c>
    </row>
    <row r="67" spans="1:17" ht="15" customHeight="1" x14ac:dyDescent="0.2">
      <c r="A67" s="8" t="s">
        <v>436</v>
      </c>
      <c r="B67" s="13">
        <v>39000</v>
      </c>
      <c r="C67" s="13">
        <v>32000</v>
      </c>
      <c r="D67" s="13">
        <v>26000</v>
      </c>
      <c r="E67" s="13">
        <v>27000</v>
      </c>
      <c r="F67" s="13">
        <v>30000</v>
      </c>
      <c r="G67" s="13">
        <v>31000</v>
      </c>
      <c r="H67" s="13">
        <v>31000</v>
      </c>
      <c r="I67" s="13">
        <v>32000</v>
      </c>
      <c r="J67" s="13">
        <v>36000</v>
      </c>
      <c r="K67" s="13">
        <v>39000</v>
      </c>
      <c r="L67" s="13">
        <v>41000</v>
      </c>
      <c r="M67" s="30">
        <f>L67*(1+Assumptions!B8)</f>
        <v>42476</v>
      </c>
      <c r="N67" s="30">
        <f>M67*(1+Assumptions!C8)</f>
        <v>44132.563999999998</v>
      </c>
      <c r="O67" s="30">
        <f>N67*(1+Assumptions!D8)</f>
        <v>45721.336303999997</v>
      </c>
      <c r="P67" s="30">
        <f>O67*(1+Assumptions!E8)</f>
        <v>47367.304410944002</v>
      </c>
      <c r="Q67" s="30">
        <f>P67*(1+Assumptions!F8)</f>
        <v>49072.527369737989</v>
      </c>
    </row>
    <row r="68" spans="1:17" ht="15" customHeight="1" x14ac:dyDescent="0.2">
      <c r="A68" s="8" t="s">
        <v>437</v>
      </c>
      <c r="B68" s="13">
        <v>14000</v>
      </c>
      <c r="C68" s="13">
        <v>13500</v>
      </c>
      <c r="D68" s="13">
        <v>13000</v>
      </c>
      <c r="E68" s="13">
        <v>13200</v>
      </c>
      <c r="F68" s="13">
        <v>14000</v>
      </c>
      <c r="G68" s="13">
        <v>14500</v>
      </c>
      <c r="H68" s="13">
        <v>15000</v>
      </c>
      <c r="I68" s="13">
        <v>15800</v>
      </c>
      <c r="J68" s="13">
        <v>18000</v>
      </c>
      <c r="K68" s="13">
        <v>20000</v>
      </c>
      <c r="L68" s="13">
        <v>22000</v>
      </c>
      <c r="M68" s="30">
        <f>L68*(1+Assumptions!B8)</f>
        <v>22792</v>
      </c>
      <c r="N68" s="30">
        <f>M68*(1+Assumptions!C8)</f>
        <v>23680.887999999999</v>
      </c>
      <c r="O68" s="30">
        <f>N68*(1+Assumptions!D8)</f>
        <v>24533.399968000002</v>
      </c>
      <c r="P68" s="30">
        <f>O68*(1+Assumptions!E8)</f>
        <v>25416.602366848001</v>
      </c>
      <c r="Q68" s="30">
        <f>P68*(1+Assumptions!F8)</f>
        <v>26331.600052054531</v>
      </c>
    </row>
    <row r="69" spans="1:17" ht="15" customHeight="1" x14ac:dyDescent="0.2">
      <c r="A69" s="8" t="s">
        <v>438</v>
      </c>
      <c r="B69" s="13">
        <v>40000</v>
      </c>
      <c r="C69" s="13">
        <v>38000</v>
      </c>
      <c r="D69" s="13">
        <v>36000</v>
      </c>
      <c r="E69" s="13">
        <v>37000</v>
      </c>
      <c r="F69" s="13">
        <v>39000</v>
      </c>
      <c r="G69" s="13">
        <v>40000</v>
      </c>
      <c r="H69" s="13">
        <v>41000</v>
      </c>
      <c r="I69" s="13">
        <v>43000</v>
      </c>
      <c r="J69" s="13">
        <v>50000</v>
      </c>
      <c r="K69" s="13">
        <v>55000</v>
      </c>
      <c r="L69" s="13">
        <v>58000</v>
      </c>
      <c r="M69" s="30">
        <f>L69*(1+Assumptions!B8)</f>
        <v>60088</v>
      </c>
      <c r="N69" s="30">
        <f>M69*(1+Assumptions!C8)</f>
        <v>62431.431999999993</v>
      </c>
      <c r="O69" s="30">
        <f>N69*(1+Assumptions!D8)</f>
        <v>64678.963551999994</v>
      </c>
      <c r="P69" s="30">
        <f>O69*(1+Assumptions!E8)</f>
        <v>67007.406239871998</v>
      </c>
      <c r="Q69" s="30">
        <f>P69*(1+Assumptions!F8)</f>
        <v>69419.672864507389</v>
      </c>
    </row>
    <row r="70" spans="1:17" ht="15" customHeight="1" x14ac:dyDescent="0.2">
      <c r="A70" s="8" t="s">
        <v>444</v>
      </c>
      <c r="B70" s="14">
        <f t="shared" ref="B70:Q70" si="3">SUM(B64:B69)</f>
        <v>282600</v>
      </c>
      <c r="C70" s="14">
        <f t="shared" si="3"/>
        <v>234000</v>
      </c>
      <c r="D70" s="14">
        <f t="shared" si="3"/>
        <v>183800</v>
      </c>
      <c r="E70" s="14">
        <f t="shared" si="3"/>
        <v>194200</v>
      </c>
      <c r="F70" s="14">
        <f t="shared" si="3"/>
        <v>228500</v>
      </c>
      <c r="G70" s="14">
        <f t="shared" si="3"/>
        <v>237100</v>
      </c>
      <c r="H70" s="14">
        <f t="shared" si="3"/>
        <v>239700</v>
      </c>
      <c r="I70" s="14">
        <f t="shared" si="3"/>
        <v>256800</v>
      </c>
      <c r="J70" s="14">
        <f t="shared" si="3"/>
        <v>307000</v>
      </c>
      <c r="K70" s="14">
        <f t="shared" si="3"/>
        <v>356000</v>
      </c>
      <c r="L70" s="14">
        <f t="shared" si="3"/>
        <v>391000</v>
      </c>
      <c r="M70" s="32">
        <f t="shared" si="3"/>
        <v>405076</v>
      </c>
      <c r="N70" s="32">
        <f t="shared" si="3"/>
        <v>420873.96399999992</v>
      </c>
      <c r="O70" s="32">
        <f t="shared" si="3"/>
        <v>436025.42670399998</v>
      </c>
      <c r="P70" s="32">
        <f t="shared" si="3"/>
        <v>451722.34206534392</v>
      </c>
      <c r="Q70" s="32">
        <f t="shared" si="3"/>
        <v>467984.34637969628</v>
      </c>
    </row>
    <row r="72" spans="1:17" ht="15" customHeight="1" x14ac:dyDescent="0.2">
      <c r="A72" s="3" t="s">
        <v>445</v>
      </c>
    </row>
    <row r="73" spans="1:17" ht="15" customHeight="1" x14ac:dyDescent="0.2">
      <c r="A73" s="8" t="s">
        <v>446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0.05</v>
      </c>
      <c r="K73" s="10">
        <v>0.08</v>
      </c>
      <c r="L73" s="10">
        <v>0.06</v>
      </c>
    </row>
    <row r="74" spans="1:17" ht="15" customHeight="1" x14ac:dyDescent="0.2">
      <c r="A74" s="8" t="s">
        <v>447</v>
      </c>
      <c r="B74" s="13">
        <v>0</v>
      </c>
      <c r="C74" s="13">
        <v>-4352</v>
      </c>
      <c r="D74" s="13">
        <v>0</v>
      </c>
      <c r="E74" s="13">
        <v>0</v>
      </c>
      <c r="F74" s="13">
        <v>12000</v>
      </c>
      <c r="G74" s="13">
        <v>8000</v>
      </c>
      <c r="H74" s="13">
        <v>5000</v>
      </c>
      <c r="I74" s="13">
        <v>15000</v>
      </c>
      <c r="J74" s="13">
        <v>25000</v>
      </c>
      <c r="K74" s="13">
        <v>30000</v>
      </c>
      <c r="L74" s="13">
        <v>33376</v>
      </c>
    </row>
    <row r="76" spans="1:17" ht="15" customHeight="1" x14ac:dyDescent="0.2">
      <c r="A76" s="3" t="s">
        <v>448</v>
      </c>
    </row>
    <row r="77" spans="1:17" ht="15" customHeight="1" x14ac:dyDescent="0.2">
      <c r="A77" s="8" t="s">
        <v>449</v>
      </c>
      <c r="B77" s="13">
        <v>500</v>
      </c>
      <c r="C77" s="13">
        <v>519</v>
      </c>
      <c r="D77" s="13">
        <v>655</v>
      </c>
      <c r="E77" s="13">
        <v>701</v>
      </c>
      <c r="F77" s="13">
        <v>723</v>
      </c>
      <c r="G77" s="13">
        <v>595</v>
      </c>
      <c r="H77" s="13">
        <v>979</v>
      </c>
      <c r="I77" s="13">
        <v>925</v>
      </c>
      <c r="J77" s="13">
        <v>948</v>
      </c>
      <c r="K77" s="13">
        <v>976</v>
      </c>
      <c r="L77" s="13">
        <v>1012</v>
      </c>
    </row>
    <row r="78" spans="1:17" ht="15" customHeight="1" x14ac:dyDescent="0.2">
      <c r="A78" s="8" t="s">
        <v>450</v>
      </c>
      <c r="B78" s="19">
        <f>IF(Ops!B29&lt;&gt;0,-CFS!B35*1000/Ops!B29,0)</f>
        <v>2690.9885573800348</v>
      </c>
      <c r="C78" s="19">
        <f>IF(Ops!C29&lt;&gt;0,-CFS!C35*1000/Ops!C29,0)</f>
        <v>2894.1462114707015</v>
      </c>
      <c r="D78" s="19">
        <f>IF(Ops!D29&lt;&gt;0,-CFS!D35*1000/Ops!D29,0)</f>
        <v>5731.2501883267541</v>
      </c>
      <c r="E78" s="19">
        <f>IF(Ops!E29&lt;&gt;0,-CFS!E35*1000/Ops!E29,0)</f>
        <v>3576.6197524872605</v>
      </c>
      <c r="F78" s="19">
        <f>IF(Ops!F29&lt;&gt;0,-CFS!F35*1000/Ops!F29,0)</f>
        <v>3536.8126747437091</v>
      </c>
      <c r="G78" s="19">
        <f>IF(Ops!G29&lt;&gt;0,-CFS!G35*1000/Ops!G29,0)</f>
        <v>3253.473469876632</v>
      </c>
      <c r="H78" s="19">
        <f>IF(Ops!H29&lt;&gt;0,-CFS!H35*1000/Ops!H29,0)</f>
        <v>3681.5757575757575</v>
      </c>
      <c r="I78" s="19">
        <f>IF(Ops!I29&lt;&gt;0,-CFS!I35*1000/Ops!I29,0)</f>
        <v>3664.1526175687668</v>
      </c>
      <c r="J78" s="19">
        <f>IF(Ops!J29&lt;&gt;0,-CFS!J35*1000/Ops!J29,0)</f>
        <v>3497.3698903876107</v>
      </c>
      <c r="K78" s="19">
        <f>IF(Ops!K29&lt;&gt;0,-CFS!K35*1000/Ops!K29,0)</f>
        <v>3615.6081964830692</v>
      </c>
      <c r="L78" s="19">
        <f>IF(Ops!L29&lt;&gt;0,-CFS!L35*1000/Ops!L29,0)</f>
        <v>3791.3292457195744</v>
      </c>
    </row>
    <row r="79" spans="1:17" ht="15" customHeight="1" x14ac:dyDescent="0.2">
      <c r="A79" s="8" t="s">
        <v>407</v>
      </c>
      <c r="B79" s="28">
        <f>IF(IS!B20&lt;&gt;0,-CFS!B35/IS!B20,0)</f>
        <v>0.30084627861365038</v>
      </c>
      <c r="C79" s="28">
        <f>IF(IS!C20&lt;&gt;0,-CFS!C35/IS!C20,0)</f>
        <v>0.3861888035906898</v>
      </c>
      <c r="D79" s="28">
        <f>IF(IS!D20&lt;&gt;0,-CFS!D35/IS!D20,0)</f>
        <v>0.88023120745269179</v>
      </c>
      <c r="E79" s="28">
        <f>IF(IS!E20&lt;&gt;0,-CFS!E35/IS!E20,0)</f>
        <v>0.52166949812415941</v>
      </c>
      <c r="F79" s="28">
        <f>IF(IS!F20&lt;&gt;0,-CFS!F35/IS!F20,0)</f>
        <v>0.45459112108905575</v>
      </c>
      <c r="G79" s="28">
        <f>IF(IS!G20&lt;&gt;0,-CFS!G35/IS!G20,0)</f>
        <v>0.40369839193888774</v>
      </c>
      <c r="H79" s="28">
        <f>IF(IS!H20&lt;&gt;0,-CFS!H35/IS!H20,0)</f>
        <v>0.44285193555442154</v>
      </c>
      <c r="I79" s="28">
        <f>IF(IS!I20&lt;&gt;0,-CFS!I35/IS!I20,0)</f>
        <v>0.43117430043157456</v>
      </c>
      <c r="J79" s="28">
        <f>IF(IS!J20&lt;&gt;0,-CFS!J35/IS!J20,0)</f>
        <v>0.35740519957115702</v>
      </c>
      <c r="K79" s="28">
        <f>IF(IS!K20&lt;&gt;0,-CFS!K35/IS!K20,0)</f>
        <v>0.32535688691039771</v>
      </c>
      <c r="L79" s="28">
        <f>IF(IS!L20&lt;&gt;0,-CFS!L35/IS!L20,0)</f>
        <v>0.31393975969978039</v>
      </c>
    </row>
    <row r="81" spans="1:19" ht="15" customHeight="1" x14ac:dyDescent="0.2">
      <c r="A81" s="3" t="s">
        <v>451</v>
      </c>
    </row>
    <row r="82" spans="1:19" ht="15" customHeight="1" x14ac:dyDescent="0.2">
      <c r="A82" s="8" t="s">
        <v>452</v>
      </c>
      <c r="B82" s="10">
        <v>1</v>
      </c>
      <c r="C82" s="10">
        <v>1</v>
      </c>
      <c r="D82" s="10">
        <v>1</v>
      </c>
      <c r="E82" s="10">
        <v>1</v>
      </c>
      <c r="F82" s="10">
        <v>1</v>
      </c>
      <c r="G82" s="10">
        <v>1</v>
      </c>
      <c r="H82" s="10">
        <v>1</v>
      </c>
      <c r="I82" s="10">
        <v>1</v>
      </c>
      <c r="J82" s="10">
        <v>1</v>
      </c>
      <c r="K82" s="10">
        <v>1</v>
      </c>
      <c r="L82" s="10">
        <v>1</v>
      </c>
      <c r="S82" s="4" t="s">
        <v>453</v>
      </c>
    </row>
    <row r="83" spans="1:19" ht="15" customHeight="1" x14ac:dyDescent="0.2">
      <c r="A83" s="8" t="s">
        <v>454</v>
      </c>
      <c r="B83" s="29">
        <v>3.0099999999999998E-2</v>
      </c>
      <c r="C83" s="29">
        <v>2.7799999999999998E-2</v>
      </c>
      <c r="D83" s="29">
        <v>2.6100000000000002E-2</v>
      </c>
      <c r="E83" s="29">
        <v>2.6499999999999999E-2</v>
      </c>
      <c r="F83" s="29">
        <v>2.7400000000000001E-2</v>
      </c>
      <c r="G83" s="29">
        <v>2.58E-2</v>
      </c>
      <c r="H83" s="29">
        <v>2.46E-2</v>
      </c>
      <c r="I83" s="29">
        <v>2.7199999999999998E-2</v>
      </c>
      <c r="J83" s="29">
        <v>0.03</v>
      </c>
      <c r="K83" s="29">
        <v>3.1899999999999998E-2</v>
      </c>
      <c r="L83" s="29">
        <v>3.3500000000000002E-2</v>
      </c>
    </row>
    <row r="84" spans="1:19" ht="15" customHeight="1" x14ac:dyDescent="0.2">
      <c r="A84" s="8" t="s">
        <v>455</v>
      </c>
      <c r="B84" s="33">
        <v>4.7</v>
      </c>
      <c r="C84" s="33">
        <v>4.5</v>
      </c>
      <c r="D84" s="33">
        <v>4.3</v>
      </c>
      <c r="E84" s="33">
        <v>4.5</v>
      </c>
      <c r="F84" s="33">
        <v>4.5999999999999996</v>
      </c>
      <c r="G84" s="33">
        <v>4.8</v>
      </c>
      <c r="H84" s="33">
        <v>5</v>
      </c>
      <c r="I84" s="33">
        <v>4.8</v>
      </c>
      <c r="J84" s="33">
        <v>4.5</v>
      </c>
      <c r="K84" s="33">
        <v>4.3</v>
      </c>
      <c r="L84" s="33">
        <v>4.2</v>
      </c>
    </row>
    <row r="86" spans="1:19" ht="15" customHeight="1" x14ac:dyDescent="0.2">
      <c r="A86" s="3" t="s">
        <v>456</v>
      </c>
      <c r="S86" s="4" t="s">
        <v>457</v>
      </c>
    </row>
    <row r="87" spans="1:19" ht="15" customHeight="1" x14ac:dyDescent="0.2">
      <c r="A87" s="8" t="s">
        <v>458</v>
      </c>
      <c r="B87" s="10">
        <v>4.1000000000000002E-2</v>
      </c>
      <c r="S87" s="4" t="s">
        <v>459</v>
      </c>
    </row>
    <row r="90" spans="1:19" ht="15" customHeight="1" x14ac:dyDescent="0.2">
      <c r="A90" s="3" t="s">
        <v>460</v>
      </c>
      <c r="S90" s="4" t="s">
        <v>461</v>
      </c>
    </row>
    <row r="91" spans="1:19" ht="15" customHeight="1" x14ac:dyDescent="0.2">
      <c r="A91" s="8" t="s">
        <v>462</v>
      </c>
      <c r="B91" s="10">
        <v>0</v>
      </c>
    </row>
    <row r="92" spans="1:19" ht="15" customHeight="1" x14ac:dyDescent="0.2">
      <c r="A92" s="8" t="s">
        <v>463</v>
      </c>
      <c r="B92" s="10">
        <v>1.7999999999999999E-2</v>
      </c>
      <c r="C92" s="10">
        <v>-6.4000000000000001E-2</v>
      </c>
      <c r="D92" s="10">
        <v>-0.154</v>
      </c>
      <c r="E92" s="10">
        <v>5.5E-2</v>
      </c>
      <c r="F92" s="10">
        <v>8.2000000000000003E-2</v>
      </c>
      <c r="G92" s="10">
        <v>0.02</v>
      </c>
      <c r="H92" s="10">
        <v>1E-3</v>
      </c>
      <c r="I92" s="10">
        <v>7.0000000000000007E-2</v>
      </c>
      <c r="J92" s="10">
        <v>0.13700000000000001</v>
      </c>
      <c r="K92" s="10">
        <v>0.13</v>
      </c>
      <c r="L92" s="10">
        <v>0.09</v>
      </c>
      <c r="M92" s="10">
        <v>4.1000000000000002E-2</v>
      </c>
      <c r="S92" s="4" t="s">
        <v>459</v>
      </c>
    </row>
    <row r="93" spans="1:19" ht="15" customHeight="1" x14ac:dyDescent="0.2">
      <c r="A93" s="8" t="s">
        <v>464</v>
      </c>
      <c r="C93" s="10">
        <v>4.1000000000000002E-2</v>
      </c>
      <c r="D93" s="10">
        <v>4.1000000000000002E-2</v>
      </c>
      <c r="E93" s="10">
        <v>4.1000000000000002E-2</v>
      </c>
      <c r="F93" s="10">
        <v>4.1000000000000002E-2</v>
      </c>
      <c r="G93" s="10">
        <v>4.1000000000000002E-2</v>
      </c>
      <c r="H93" s="10">
        <v>4.1000000000000002E-2</v>
      </c>
      <c r="I93" s="10">
        <v>4.1000000000000002E-2</v>
      </c>
      <c r="J93" s="10">
        <v>4.1000000000000002E-2</v>
      </c>
      <c r="K93" s="10">
        <v>4.1000000000000002E-2</v>
      </c>
      <c r="L93" s="10">
        <v>4.1000000000000002E-2</v>
      </c>
    </row>
    <row r="94" spans="1:19" ht="15" customHeight="1" x14ac:dyDescent="0.2">
      <c r="A94" s="8" t="s">
        <v>465</v>
      </c>
      <c r="B94" s="13">
        <v>294702</v>
      </c>
      <c r="C94" s="14">
        <f t="shared" ref="C94:L94" si="4">B94*(1+C92)</f>
        <v>275841.07199999999</v>
      </c>
      <c r="D94" s="14">
        <f t="shared" si="4"/>
        <v>233361.54691199999</v>
      </c>
      <c r="E94" s="14">
        <f t="shared" si="4"/>
        <v>246196.43199215998</v>
      </c>
      <c r="F94" s="14">
        <f t="shared" si="4"/>
        <v>266384.53941551712</v>
      </c>
      <c r="G94" s="14">
        <f t="shared" si="4"/>
        <v>271712.23020382749</v>
      </c>
      <c r="H94" s="14">
        <f t="shared" si="4"/>
        <v>271983.94243403128</v>
      </c>
      <c r="I94" s="14">
        <f t="shared" si="4"/>
        <v>291022.81840441347</v>
      </c>
      <c r="J94" s="14">
        <f t="shared" si="4"/>
        <v>330892.94452581811</v>
      </c>
      <c r="K94" s="14">
        <f t="shared" si="4"/>
        <v>373909.02731417445</v>
      </c>
      <c r="L94" s="14">
        <f t="shared" si="4"/>
        <v>407560.83977245021</v>
      </c>
    </row>
    <row r="95" spans="1:19" ht="15" customHeight="1" x14ac:dyDescent="0.2">
      <c r="A95" s="8" t="s">
        <v>466</v>
      </c>
      <c r="B95" s="13">
        <v>33407</v>
      </c>
      <c r="C95" s="14">
        <f t="shared" ref="C95:L95" si="5">B95*(1+C93)</f>
        <v>34776.686999999998</v>
      </c>
      <c r="D95" s="14">
        <f t="shared" si="5"/>
        <v>36202.531166999994</v>
      </c>
      <c r="E95" s="14">
        <f t="shared" si="5"/>
        <v>37686.834944846989</v>
      </c>
      <c r="F95" s="14">
        <f t="shared" si="5"/>
        <v>39231.995177585712</v>
      </c>
      <c r="G95" s="14">
        <f t="shared" si="5"/>
        <v>40840.506979866725</v>
      </c>
      <c r="H95" s="14">
        <f t="shared" si="5"/>
        <v>42514.967766041256</v>
      </c>
      <c r="I95" s="14">
        <f t="shared" si="5"/>
        <v>44258.081444448944</v>
      </c>
      <c r="J95" s="14">
        <f t="shared" si="5"/>
        <v>46072.662783671345</v>
      </c>
      <c r="K95" s="14">
        <f t="shared" si="5"/>
        <v>47961.641957801869</v>
      </c>
      <c r="L95" s="14">
        <f t="shared" si="5"/>
        <v>49928.069278071744</v>
      </c>
    </row>
    <row r="96" spans="1:19" ht="15" customHeight="1" x14ac:dyDescent="0.2">
      <c r="A96" s="8" t="s">
        <v>330</v>
      </c>
      <c r="B96" s="14">
        <f t="shared" ref="B96:L96" si="6">B94-B95</f>
        <v>261295</v>
      </c>
      <c r="C96" s="14">
        <f t="shared" si="6"/>
        <v>241064.38499999998</v>
      </c>
      <c r="D96" s="14">
        <f t="shared" si="6"/>
        <v>197159.01574499998</v>
      </c>
      <c r="E96" s="14">
        <f t="shared" si="6"/>
        <v>208509.597047313</v>
      </c>
      <c r="F96" s="14">
        <f t="shared" si="6"/>
        <v>227152.5442379314</v>
      </c>
      <c r="G96" s="14">
        <f t="shared" si="6"/>
        <v>230871.72322396078</v>
      </c>
      <c r="H96" s="14">
        <f t="shared" si="6"/>
        <v>229468.97466799003</v>
      </c>
      <c r="I96" s="14">
        <f t="shared" si="6"/>
        <v>246764.73695996453</v>
      </c>
      <c r="J96" s="14">
        <f t="shared" si="6"/>
        <v>284820.28174214676</v>
      </c>
      <c r="K96" s="14">
        <f t="shared" si="6"/>
        <v>325947.38535637257</v>
      </c>
      <c r="L96" s="14">
        <f t="shared" si="6"/>
        <v>357632.77049437846</v>
      </c>
    </row>
    <row r="97" spans="1:12" ht="15" customHeight="1" x14ac:dyDescent="0.2">
      <c r="A97" s="8" t="s">
        <v>467</v>
      </c>
      <c r="B97" s="29">
        <v>3.0099999999999998E-2</v>
      </c>
      <c r="C97" s="29">
        <v>2.7799999999999998E-2</v>
      </c>
      <c r="D97" s="29">
        <v>2.6100000000000002E-2</v>
      </c>
      <c r="E97" s="29">
        <v>2.6499999999999999E-2</v>
      </c>
      <c r="F97" s="29">
        <v>2.7400000000000001E-2</v>
      </c>
      <c r="G97" s="29">
        <v>2.58E-2</v>
      </c>
      <c r="H97" s="29">
        <v>2.46E-2</v>
      </c>
      <c r="I97" s="29">
        <v>2.7199999999999998E-2</v>
      </c>
      <c r="J97" s="29">
        <v>0.03</v>
      </c>
      <c r="K97" s="29">
        <v>3.1899999999999998E-2</v>
      </c>
      <c r="L97" s="29">
        <v>3.3500000000000002E-2</v>
      </c>
    </row>
    <row r="98" spans="1:12" ht="15" customHeight="1" x14ac:dyDescent="0.2">
      <c r="A98" s="8" t="s">
        <v>468</v>
      </c>
      <c r="B98" s="13">
        <v>2035431</v>
      </c>
      <c r="C98" s="13">
        <v>2336564</v>
      </c>
      <c r="D98" s="13">
        <v>2520000</v>
      </c>
      <c r="E98" s="13">
        <v>2681000</v>
      </c>
      <c r="F98" s="13">
        <v>2706000</v>
      </c>
      <c r="G98" s="13">
        <v>2844000</v>
      </c>
      <c r="H98" s="13">
        <v>2914000</v>
      </c>
      <c r="I98" s="13">
        <v>3161000</v>
      </c>
      <c r="J98" s="13">
        <v>3263000</v>
      </c>
      <c r="K98" s="13">
        <v>3228000</v>
      </c>
      <c r="L98" s="13">
        <v>3445000</v>
      </c>
    </row>
    <row r="99" spans="1:12" ht="15" customHeight="1" x14ac:dyDescent="0.2">
      <c r="A99" s="8" t="s">
        <v>469</v>
      </c>
      <c r="B99" s="14">
        <f>B98*B97+CFS!B23*-1</f>
        <v>110785.4731</v>
      </c>
      <c r="C99" s="14">
        <f>C98*C97+CFS!C23*-1</f>
        <v>119834.4792</v>
      </c>
      <c r="D99" s="14">
        <f>D98*D97+CFS!D23*-1</f>
        <v>126171</v>
      </c>
      <c r="E99" s="14">
        <f>E98*E97+CFS!E23*-1</f>
        <v>134772.5</v>
      </c>
      <c r="F99" s="14">
        <f>F98*F97+CFS!F23*-1</f>
        <v>142347.40000000002</v>
      </c>
      <c r="G99" s="14">
        <f>G98*G97+CFS!G23*-1</f>
        <v>143061.20000000001</v>
      </c>
      <c r="H99" s="14">
        <f>H98*H97+CFS!H23*-1</f>
        <v>144143.4</v>
      </c>
      <c r="I99" s="14">
        <f>I98*I97+CFS!I23*-1</f>
        <v>160567.20000000001</v>
      </c>
      <c r="J99" s="14">
        <f>J98*J97+CFS!J23*-1</f>
        <v>172338</v>
      </c>
      <c r="K99" s="14">
        <f>K98*K97+CFS!K23*-1</f>
        <v>178255.2</v>
      </c>
      <c r="L99" s="14">
        <f>L98*L97+CFS!L23*-1</f>
        <v>194048.5</v>
      </c>
    </row>
    <row r="100" spans="1:12" ht="15" customHeight="1" x14ac:dyDescent="0.2">
      <c r="A100" s="8" t="s">
        <v>470</v>
      </c>
      <c r="B100" s="14">
        <f t="shared" ref="B100:L100" si="7">B98*B97</f>
        <v>61266.473099999996</v>
      </c>
      <c r="C100" s="14">
        <f t="shared" si="7"/>
        <v>64956.479199999994</v>
      </c>
      <c r="D100" s="14">
        <f t="shared" si="7"/>
        <v>65772</v>
      </c>
      <c r="E100" s="14">
        <f t="shared" si="7"/>
        <v>71046.5</v>
      </c>
      <c r="F100" s="14">
        <f t="shared" si="7"/>
        <v>74144.400000000009</v>
      </c>
      <c r="G100" s="14">
        <f t="shared" si="7"/>
        <v>73375.199999999997</v>
      </c>
      <c r="H100" s="14">
        <f t="shared" si="7"/>
        <v>71684.399999999994</v>
      </c>
      <c r="I100" s="14">
        <f t="shared" si="7"/>
        <v>85979.199999999997</v>
      </c>
      <c r="J100" s="14">
        <f t="shared" si="7"/>
        <v>97890</v>
      </c>
      <c r="K100" s="14">
        <f t="shared" si="7"/>
        <v>102973.2</v>
      </c>
      <c r="L100" s="14">
        <f t="shared" si="7"/>
        <v>115407.5</v>
      </c>
    </row>
    <row r="101" spans="1:12" ht="15" customHeight="1" x14ac:dyDescent="0.2">
      <c r="A101" s="8" t="s">
        <v>377</v>
      </c>
      <c r="B101" s="14">
        <f t="shared" ref="B101:L101" si="8">B96-B100</f>
        <v>200028.5269</v>
      </c>
      <c r="C101" s="14">
        <f t="shared" si="8"/>
        <v>176107.90579999998</v>
      </c>
      <c r="D101" s="14">
        <f t="shared" si="8"/>
        <v>131387.01574499998</v>
      </c>
      <c r="E101" s="14">
        <f t="shared" si="8"/>
        <v>137463.097047313</v>
      </c>
      <c r="F101" s="14">
        <f t="shared" si="8"/>
        <v>153008.14423793141</v>
      </c>
      <c r="G101" s="14">
        <f t="shared" si="8"/>
        <v>157496.52322396077</v>
      </c>
      <c r="H101" s="14">
        <f t="shared" si="8"/>
        <v>157784.57466799003</v>
      </c>
      <c r="I101" s="14">
        <f t="shared" si="8"/>
        <v>160785.53695996455</v>
      </c>
      <c r="J101" s="14">
        <f t="shared" si="8"/>
        <v>186930.28174214676</v>
      </c>
      <c r="K101" s="14">
        <f t="shared" si="8"/>
        <v>222974.18535637256</v>
      </c>
      <c r="L101" s="14">
        <f t="shared" si="8"/>
        <v>242225.27049437846</v>
      </c>
    </row>
    <row r="102" spans="1:12" ht="15" customHeight="1" x14ac:dyDescent="0.2">
      <c r="A102" s="8" t="s">
        <v>471</v>
      </c>
      <c r="B102" s="28">
        <f>IF(IS!B20&lt;&gt;0,-CFS!B35/IS!B20,0)</f>
        <v>0.30084627861365038</v>
      </c>
      <c r="C102" s="28">
        <f>IF(IS!C20&lt;&gt;0,-CFS!C35/IS!C20,0)</f>
        <v>0.3861888035906898</v>
      </c>
      <c r="D102" s="28">
        <f>IF(IS!D20&lt;&gt;0,-CFS!D35/IS!D20,0)</f>
        <v>0.88023120745269179</v>
      </c>
      <c r="E102" s="28">
        <f>IF(IS!E20&lt;&gt;0,-CFS!E35/IS!E20,0)</f>
        <v>0.52166949812415941</v>
      </c>
      <c r="F102" s="28">
        <f>IF(IS!F20&lt;&gt;0,-CFS!F35/IS!F20,0)</f>
        <v>0.45459112108905575</v>
      </c>
      <c r="G102" s="28">
        <f>IF(IS!G20&lt;&gt;0,-CFS!G35/IS!G20,0)</f>
        <v>0.40369839193888774</v>
      </c>
      <c r="H102" s="28">
        <f>IF(IS!H20&lt;&gt;0,-CFS!H35/IS!H20,0)</f>
        <v>0.44285193555442154</v>
      </c>
      <c r="I102" s="28">
        <f>IF(IS!I20&lt;&gt;0,-CFS!I35/IS!I20,0)</f>
        <v>0.43117430043157456</v>
      </c>
      <c r="J102" s="28">
        <f>IF(IS!J20&lt;&gt;0,-CFS!J35/IS!J20,0)</f>
        <v>0.35740519957115702</v>
      </c>
      <c r="K102" s="28">
        <f>IF(IS!K20&lt;&gt;0,-CFS!K35/IS!K20,0)</f>
        <v>0.32535688691039771</v>
      </c>
      <c r="L102" s="28">
        <f>IF(IS!L20&lt;&gt;0,-CFS!L35/IS!L20,0)</f>
        <v>0.31393975969978039</v>
      </c>
    </row>
    <row r="103" spans="1:12" ht="15" customHeight="1" x14ac:dyDescent="0.2">
      <c r="A103" s="8" t="s">
        <v>472</v>
      </c>
      <c r="B103" s="19">
        <f>-CFS!B35</f>
        <v>88660</v>
      </c>
      <c r="C103" s="19">
        <f>-CFS!C35</f>
        <v>97744</v>
      </c>
      <c r="D103" s="19">
        <f>-CFS!D35</f>
        <v>190203</v>
      </c>
      <c r="E103" s="19">
        <f>-CFS!E35</f>
        <v>117914</v>
      </c>
      <c r="F103" s="19">
        <f>-CFS!F35</f>
        <v>117645</v>
      </c>
      <c r="G103" s="19">
        <f>-CFS!G35</f>
        <v>108653</v>
      </c>
      <c r="H103" s="19">
        <f>-CFS!H35</f>
        <v>121492</v>
      </c>
      <c r="I103" s="19">
        <f>-CFS!I35</f>
        <v>123885</v>
      </c>
      <c r="J103" s="19">
        <f>-CFS!J35</f>
        <v>119012</v>
      </c>
      <c r="K103" s="19">
        <f>-CFS!K35</f>
        <v>124395</v>
      </c>
      <c r="L103" s="19">
        <f>-CFS!L35</f>
        <v>131089</v>
      </c>
    </row>
    <row r="104" spans="1:12" ht="15" customHeight="1" x14ac:dyDescent="0.2">
      <c r="A104" s="8" t="s">
        <v>473</v>
      </c>
      <c r="B104" s="14">
        <f t="shared" ref="B104:L104" si="9">B101-B103</f>
        <v>111368.5269</v>
      </c>
      <c r="C104" s="14">
        <f t="shared" si="9"/>
        <v>78363.905799999979</v>
      </c>
      <c r="D104" s="14">
        <f t="shared" si="9"/>
        <v>-58815.984255000018</v>
      </c>
      <c r="E104" s="14">
        <f t="shared" si="9"/>
        <v>19549.097047313</v>
      </c>
      <c r="F104" s="14">
        <f t="shared" si="9"/>
        <v>35363.14423793141</v>
      </c>
      <c r="G104" s="14">
        <f t="shared" si="9"/>
        <v>48843.523223960772</v>
      </c>
      <c r="H104" s="14">
        <f t="shared" si="9"/>
        <v>36292.574667990033</v>
      </c>
      <c r="I104" s="14">
        <f t="shared" si="9"/>
        <v>36900.536959964549</v>
      </c>
      <c r="J104" s="14">
        <f t="shared" si="9"/>
        <v>67918.281742146763</v>
      </c>
      <c r="K104" s="14">
        <f t="shared" si="9"/>
        <v>98579.18535637256</v>
      </c>
      <c r="L104" s="14">
        <f t="shared" si="9"/>
        <v>111136.27049437846</v>
      </c>
    </row>
    <row r="105" spans="1:12" ht="15" customHeight="1" x14ac:dyDescent="0.2">
      <c r="A105" s="8" t="s">
        <v>474</v>
      </c>
      <c r="B105" s="27">
        <f t="shared" ref="B105:L105" si="10">IF(B96&lt;&gt;0,B98/B96,0)</f>
        <v>7.7897816644023044</v>
      </c>
      <c r="C105" s="27">
        <f t="shared" si="10"/>
        <v>9.6926968286916377</v>
      </c>
      <c r="D105" s="27">
        <f t="shared" si="10"/>
        <v>12.781561068753247</v>
      </c>
      <c r="E105" s="27">
        <f t="shared" si="10"/>
        <v>12.857921352136387</v>
      </c>
      <c r="F105" s="27">
        <f t="shared" si="10"/>
        <v>11.912699499265106</v>
      </c>
      <c r="G105" s="27">
        <f t="shared" si="10"/>
        <v>12.318528922838821</v>
      </c>
      <c r="H105" s="27">
        <f t="shared" si="10"/>
        <v>12.698884475411791</v>
      </c>
      <c r="I105" s="27">
        <f t="shared" si="10"/>
        <v>12.80977192666246</v>
      </c>
      <c r="J105" s="27">
        <f t="shared" si="10"/>
        <v>11.456347069251397</v>
      </c>
      <c r="K105" s="27">
        <f t="shared" si="10"/>
        <v>9.9034388524721138</v>
      </c>
      <c r="L105" s="27">
        <f t="shared" si="10"/>
        <v>9.6327861544616233</v>
      </c>
    </row>
    <row r="106" spans="1:12" ht="15" customHeight="1" x14ac:dyDescent="0.2">
      <c r="A106" s="8" t="s">
        <v>475</v>
      </c>
      <c r="B106" s="29">
        <v>5.3800000000000001E-2</v>
      </c>
      <c r="C106" s="29">
        <v>5.3800000000000001E-2</v>
      </c>
      <c r="D106" s="29">
        <v>5.2900000000000003E-2</v>
      </c>
      <c r="E106" s="29">
        <v>5.28E-2</v>
      </c>
      <c r="F106" s="29">
        <v>5.2699999999999997E-2</v>
      </c>
      <c r="G106" s="29">
        <v>5.2699999999999997E-2</v>
      </c>
      <c r="H106" s="29">
        <v>4.8000000000000001E-2</v>
      </c>
      <c r="I106" s="29">
        <v>4.8000000000000001E-2</v>
      </c>
      <c r="J106" s="29">
        <v>4.8000000000000001E-2</v>
      </c>
      <c r="K106" s="29">
        <v>4.9000000000000002E-2</v>
      </c>
      <c r="L106" s="29">
        <v>0.05</v>
      </c>
    </row>
    <row r="107" spans="1:12" ht="15" customHeight="1" x14ac:dyDescent="0.2">
      <c r="A107" s="8" t="s">
        <v>476</v>
      </c>
      <c r="B107" s="14">
        <f t="shared" ref="B107:L107" si="11">IF(B106&lt;&gt;0,B94/B106,0)</f>
        <v>5477732.3420074349</v>
      </c>
      <c r="C107" s="14">
        <f t="shared" si="11"/>
        <v>5127157.4721189588</v>
      </c>
      <c r="D107" s="14">
        <f t="shared" si="11"/>
        <v>4411371.3972022682</v>
      </c>
      <c r="E107" s="14">
        <f t="shared" si="11"/>
        <v>4662811.2119727265</v>
      </c>
      <c r="F107" s="14">
        <f t="shared" si="11"/>
        <v>5054735.0932735698</v>
      </c>
      <c r="G107" s="14">
        <f t="shared" si="11"/>
        <v>5155829.7951390417</v>
      </c>
      <c r="H107" s="14">
        <f t="shared" si="11"/>
        <v>5666332.134042318</v>
      </c>
      <c r="I107" s="14">
        <f t="shared" si="11"/>
        <v>6062975.3834252805</v>
      </c>
      <c r="J107" s="14">
        <f t="shared" si="11"/>
        <v>6893603.0109545439</v>
      </c>
      <c r="K107" s="14">
        <f t="shared" si="11"/>
        <v>7630796.4757994786</v>
      </c>
      <c r="L107" s="14">
        <f t="shared" si="11"/>
        <v>8151216.7954490036</v>
      </c>
    </row>
    <row r="108" spans="1:12" ht="15" customHeight="1" x14ac:dyDescent="0.2">
      <c r="A108" s="8" t="s">
        <v>191</v>
      </c>
      <c r="B108" s="14">
        <f t="shared" ref="B108:L108" si="12">B107-B98</f>
        <v>3442301.3420074349</v>
      </c>
      <c r="C108" s="14">
        <f t="shared" si="12"/>
        <v>2790593.4721189588</v>
      </c>
      <c r="D108" s="14">
        <f t="shared" si="12"/>
        <v>1891371.3972022682</v>
      </c>
      <c r="E108" s="14">
        <f t="shared" si="12"/>
        <v>1981811.2119727265</v>
      </c>
      <c r="F108" s="14">
        <f t="shared" si="12"/>
        <v>2348735.0932735698</v>
      </c>
      <c r="G108" s="14">
        <f t="shared" si="12"/>
        <v>2311829.7951390417</v>
      </c>
      <c r="H108" s="14">
        <f t="shared" si="12"/>
        <v>2752332.134042318</v>
      </c>
      <c r="I108" s="14">
        <f t="shared" si="12"/>
        <v>2901975.3834252805</v>
      </c>
      <c r="J108" s="14">
        <f t="shared" si="12"/>
        <v>3630603.0109545439</v>
      </c>
      <c r="K108" s="14">
        <f t="shared" si="12"/>
        <v>4402796.4757994786</v>
      </c>
      <c r="L108" s="14">
        <f t="shared" si="12"/>
        <v>4706216.7954490036</v>
      </c>
    </row>
    <row r="110" spans="1:12" ht="15" customHeight="1" x14ac:dyDescent="0.2">
      <c r="A110" s="8" t="s">
        <v>477</v>
      </c>
      <c r="B110" s="16">
        <f t="shared" ref="B110:L110" si="13">IF(B108&lt;&gt;0,B104/B108,0)</f>
        <v>3.2352927833753681E-2</v>
      </c>
      <c r="C110" s="16">
        <f t="shared" si="13"/>
        <v>2.8081448115943791E-2</v>
      </c>
      <c r="D110" s="16">
        <f t="shared" si="13"/>
        <v>-3.1097004185429204E-2</v>
      </c>
      <c r="E110" s="16">
        <f t="shared" si="13"/>
        <v>9.8642579723088337E-3</v>
      </c>
      <c r="F110" s="16">
        <f t="shared" si="13"/>
        <v>1.5056250634312157E-2</v>
      </c>
      <c r="G110" s="16">
        <f t="shared" si="13"/>
        <v>2.1127646735352827E-2</v>
      </c>
      <c r="H110" s="16">
        <f t="shared" si="13"/>
        <v>1.3186117408979837E-2</v>
      </c>
      <c r="I110" s="16">
        <f t="shared" si="13"/>
        <v>1.2715661604410249E-2</v>
      </c>
      <c r="J110" s="16">
        <f t="shared" si="13"/>
        <v>1.8707162842430947E-2</v>
      </c>
      <c r="K110" s="16">
        <f t="shared" si="13"/>
        <v>2.2390129977214568E-2</v>
      </c>
      <c r="L110" s="16">
        <f t="shared" si="13"/>
        <v>2.3614779200535181E-2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5"/>
  <sheetViews>
    <sheetView zoomScaleNormal="100" workbookViewId="0">
      <selection activeCell="C36" sqref="C36"/>
    </sheetView>
  </sheetViews>
  <sheetFormatPr baseColWidth="10" defaultColWidth="8.6640625" defaultRowHeight="15" x14ac:dyDescent="0.2"/>
  <cols>
    <col min="1" max="1" width="44" style="1" customWidth="1"/>
    <col min="2" max="19" width="13" style="1" customWidth="1"/>
    <col min="20" max="16384" width="8.6640625" style="1"/>
  </cols>
  <sheetData>
    <row r="1" spans="1:17" ht="15" customHeight="1" x14ac:dyDescent="0.2">
      <c r="A1" s="2" t="s">
        <v>0</v>
      </c>
    </row>
    <row r="2" spans="1:17" ht="15" customHeight="1" x14ac:dyDescent="0.2">
      <c r="A2" s="3" t="s">
        <v>478</v>
      </c>
    </row>
    <row r="3" spans="1:17" ht="15" customHeight="1" x14ac:dyDescent="0.2">
      <c r="A3" s="4" t="s">
        <v>479</v>
      </c>
    </row>
    <row r="5" spans="1:17" ht="15" customHeight="1" x14ac:dyDescent="0.2"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255</v>
      </c>
      <c r="H5" s="5" t="s">
        <v>256</v>
      </c>
      <c r="I5" s="5" t="s">
        <v>257</v>
      </c>
      <c r="J5" s="5" t="s">
        <v>258</v>
      </c>
      <c r="K5" s="5" t="s">
        <v>259</v>
      </c>
      <c r="L5" s="5" t="s">
        <v>260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spans="1:17" ht="15" customHeight="1" x14ac:dyDescent="0.2">
      <c r="A7" s="3" t="s">
        <v>480</v>
      </c>
    </row>
    <row r="15" spans="1:17" ht="15" customHeight="1" x14ac:dyDescent="0.2">
      <c r="A15" s="3" t="s">
        <v>481</v>
      </c>
    </row>
    <row r="16" spans="1:17" ht="15" customHeight="1" x14ac:dyDescent="0.2">
      <c r="A16" s="8" t="s">
        <v>482</v>
      </c>
      <c r="B16" s="19">
        <f>IS!B28</f>
        <v>-194920</v>
      </c>
      <c r="C16" s="19">
        <f>IS!C28</f>
        <v>-180843</v>
      </c>
      <c r="D16" s="19">
        <f>IS!D28</f>
        <v>-32256</v>
      </c>
      <c r="E16" s="19">
        <f>IS!E28</f>
        <v>92348</v>
      </c>
      <c r="F16" s="19">
        <f>IS!F28</f>
        <v>-102692</v>
      </c>
      <c r="G16" s="19">
        <f>IS!G28</f>
        <v>-326536</v>
      </c>
      <c r="H16" s="19">
        <f>IS!H28</f>
        <v>607185</v>
      </c>
      <c r="I16" s="19">
        <f>IS!I28</f>
        <v>103342</v>
      </c>
      <c r="J16" s="19">
        <f>IS!J28</f>
        <v>306889</v>
      </c>
      <c r="K16" s="19">
        <f>IS!K28</f>
        <v>359888</v>
      </c>
      <c r="L16" s="19">
        <f>IS!L28</f>
        <v>-24948</v>
      </c>
      <c r="M16" s="19">
        <f>IS!M28</f>
        <v>1257845.3299015705</v>
      </c>
      <c r="N16" s="19">
        <f>IS!N28</f>
        <v>188137.29160371781</v>
      </c>
      <c r="O16" s="19">
        <f>IS!O28</f>
        <v>770430.89809330273</v>
      </c>
      <c r="P16" s="19">
        <f>IS!P28</f>
        <v>176712.29865859478</v>
      </c>
      <c r="Q16" s="19">
        <f>IS!Q28</f>
        <v>117718.60886367213</v>
      </c>
    </row>
    <row r="17" spans="1:19" ht="15" customHeight="1" x14ac:dyDescent="0.2">
      <c r="A17" s="8" t="s">
        <v>483</v>
      </c>
      <c r="B17" s="13">
        <v>800000</v>
      </c>
      <c r="C17" s="14">
        <f>B17+IS!C28</f>
        <v>619157</v>
      </c>
      <c r="D17" s="14">
        <f>C17+IS!D28</f>
        <v>586901</v>
      </c>
      <c r="E17" s="14">
        <f>D17+IS!E28</f>
        <v>679249</v>
      </c>
      <c r="F17" s="14">
        <f>E17+IS!F28</f>
        <v>576557</v>
      </c>
      <c r="G17" s="14">
        <f>F17+IS!G28</f>
        <v>250021</v>
      </c>
      <c r="H17" s="14">
        <f>G17+IS!H28</f>
        <v>857206</v>
      </c>
      <c r="I17" s="14">
        <f>H17+IS!I28</f>
        <v>960548</v>
      </c>
      <c r="J17" s="14">
        <f>I17+IS!J28</f>
        <v>1267437</v>
      </c>
      <c r="K17" s="14">
        <f>J17+IS!K28</f>
        <v>1627325</v>
      </c>
      <c r="L17" s="14">
        <f>K17+IS!L28</f>
        <v>1602377</v>
      </c>
      <c r="M17" s="14">
        <f>L17+IS!M28</f>
        <v>2860222.3299015705</v>
      </c>
      <c r="N17" s="14">
        <f>M17+IS!N28</f>
        <v>3048359.6215052884</v>
      </c>
      <c r="O17" s="14">
        <f>N17+IS!O28</f>
        <v>3818790.5195985911</v>
      </c>
      <c r="P17" s="14">
        <f>O17+IS!P28</f>
        <v>3995502.8182571861</v>
      </c>
      <c r="Q17" s="14">
        <f>P17+IS!Q28</f>
        <v>4113221.4271208583</v>
      </c>
      <c r="S17" s="4" t="s">
        <v>484</v>
      </c>
    </row>
    <row r="20" spans="1:19" ht="15" customHeight="1" x14ac:dyDescent="0.2">
      <c r="A20" s="8" t="s">
        <v>309</v>
      </c>
      <c r="B20" s="19">
        <f>BS!B25</f>
        <v>3210738</v>
      </c>
      <c r="C20" s="19">
        <f>BS!C25</f>
        <v>3021319</v>
      </c>
      <c r="D20" s="19">
        <f>BS!D25</f>
        <v>2815000</v>
      </c>
      <c r="E20" s="19">
        <f>BS!E25</f>
        <v>2940000</v>
      </c>
      <c r="F20" s="19">
        <f>BS!F25</f>
        <v>3118055</v>
      </c>
      <c r="G20" s="19">
        <f>BS!G25</f>
        <v>2965000</v>
      </c>
      <c r="H20" s="19">
        <f>BS!H25</f>
        <v>3205000</v>
      </c>
      <c r="I20" s="19">
        <f>BS!I25</f>
        <v>3215000</v>
      </c>
      <c r="J20" s="19">
        <f>BS!J25</f>
        <v>3360000</v>
      </c>
      <c r="K20" s="19">
        <f>BS!K25</f>
        <v>3770000</v>
      </c>
      <c r="L20" s="19">
        <f>BS!L25</f>
        <v>3600000</v>
      </c>
      <c r="M20" s="19">
        <f>BS!M25</f>
        <v>4999404.5152079705</v>
      </c>
      <c r="N20" s="19">
        <f>BS!N25</f>
        <v>5345228.2667742679</v>
      </c>
      <c r="O20" s="19">
        <f>BS!O25</f>
        <v>6292113.3696393603</v>
      </c>
      <c r="P20" s="19">
        <f>BS!P25</f>
        <v>6662083.9472124567</v>
      </c>
      <c r="Q20" s="19">
        <f>BS!Q25</f>
        <v>6987635.4719789969</v>
      </c>
    </row>
    <row r="21" spans="1:19" ht="15" customHeight="1" x14ac:dyDescent="0.2">
      <c r="A21" s="8" t="s">
        <v>325</v>
      </c>
      <c r="B21" s="19">
        <f>BS!B49</f>
        <v>2272447</v>
      </c>
      <c r="C21" s="19">
        <f>BS!C49</f>
        <v>2435666</v>
      </c>
      <c r="D21" s="19">
        <f>BS!D49</f>
        <v>2593822</v>
      </c>
      <c r="E21" s="19">
        <f>BS!E49</f>
        <v>2719195</v>
      </c>
      <c r="F21" s="19">
        <f>BS!F49</f>
        <v>2741648</v>
      </c>
      <c r="G21" s="19">
        <f>BS!G49</f>
        <v>2896790</v>
      </c>
      <c r="H21" s="19">
        <f>BS!H49</f>
        <v>2978437</v>
      </c>
      <c r="I21" s="19">
        <f>BS!I49</f>
        <v>3214554</v>
      </c>
      <c r="J21" s="19">
        <f>BS!J49</f>
        <v>3318417</v>
      </c>
      <c r="K21" s="19">
        <f>BS!K49</f>
        <v>3286081</v>
      </c>
      <c r="L21" s="19">
        <f>BS!L49</f>
        <v>3490395</v>
      </c>
      <c r="M21" s="19">
        <f>BS!M49</f>
        <v>3682540.1258047111</v>
      </c>
      <c r="N21" s="19">
        <f>BS!N49</f>
        <v>3806382.5058421316</v>
      </c>
      <c r="O21" s="19">
        <f>BS!O49</f>
        <v>3862728.3366258973</v>
      </c>
      <c r="P21" s="19">
        <f>BS!P49</f>
        <v>3903619.0666002845</v>
      </c>
      <c r="Q21" s="19">
        <f>BS!Q49</f>
        <v>3931361.9106974159</v>
      </c>
    </row>
    <row r="22" spans="1:19" ht="15" customHeight="1" x14ac:dyDescent="0.2">
      <c r="A22" s="8" t="s">
        <v>485</v>
      </c>
      <c r="B22" s="19">
        <f>-BS!B14</f>
        <v>-237016</v>
      </c>
      <c r="C22" s="19">
        <f>-BS!C14</f>
        <v>-99102</v>
      </c>
      <c r="D22" s="19">
        <f>-BS!D14</f>
        <v>-70834</v>
      </c>
      <c r="E22" s="19">
        <f>-BS!E14</f>
        <v>-38086</v>
      </c>
      <c r="F22" s="19">
        <f>-BS!F14</f>
        <v>-35166</v>
      </c>
      <c r="G22" s="19">
        <f>-BS!G14</f>
        <v>-52960</v>
      </c>
      <c r="H22" s="19">
        <f>-BS!H14</f>
        <v>-64300</v>
      </c>
      <c r="I22" s="19">
        <f>-BS!I14</f>
        <v>-52816</v>
      </c>
      <c r="J22" s="19">
        <f>-BS!J14</f>
        <v>-55000</v>
      </c>
      <c r="K22" s="19">
        <f>-BS!K14</f>
        <v>-58000</v>
      </c>
      <c r="L22" s="19">
        <f>-BS!L14</f>
        <v>-45000</v>
      </c>
      <c r="M22" s="19">
        <f>-BS!M14</f>
        <v>-45000</v>
      </c>
      <c r="N22" s="19">
        <f>-BS!N14</f>
        <v>-45000</v>
      </c>
      <c r="O22" s="19">
        <f>-BS!O14</f>
        <v>-45000</v>
      </c>
      <c r="P22" s="19">
        <f>-BS!P14</f>
        <v>-45000</v>
      </c>
      <c r="Q22" s="19">
        <f>-BS!Q14</f>
        <v>-45000</v>
      </c>
    </row>
    <row r="23" spans="1:19" ht="15" customHeight="1" x14ac:dyDescent="0.2">
      <c r="A23" s="3" t="s">
        <v>486</v>
      </c>
      <c r="B23" s="14">
        <f t="shared" ref="B23:Q23" si="0">B20+B21+B22</f>
        <v>5246169</v>
      </c>
      <c r="C23" s="14">
        <f t="shared" si="0"/>
        <v>5357883</v>
      </c>
      <c r="D23" s="14">
        <f t="shared" si="0"/>
        <v>5337988</v>
      </c>
      <c r="E23" s="14">
        <f t="shared" si="0"/>
        <v>5621109</v>
      </c>
      <c r="F23" s="14">
        <f t="shared" si="0"/>
        <v>5824537</v>
      </c>
      <c r="G23" s="14">
        <f t="shared" si="0"/>
        <v>5808830</v>
      </c>
      <c r="H23" s="14">
        <f t="shared" si="0"/>
        <v>6119137</v>
      </c>
      <c r="I23" s="14">
        <f t="shared" si="0"/>
        <v>6376738</v>
      </c>
      <c r="J23" s="14">
        <f t="shared" si="0"/>
        <v>6623417</v>
      </c>
      <c r="K23" s="14">
        <f t="shared" si="0"/>
        <v>6998081</v>
      </c>
      <c r="L23" s="14">
        <f t="shared" si="0"/>
        <v>7045395</v>
      </c>
      <c r="M23" s="14">
        <f t="shared" si="0"/>
        <v>8636944.6410126816</v>
      </c>
      <c r="N23" s="14">
        <f t="shared" si="0"/>
        <v>9106610.7726163995</v>
      </c>
      <c r="O23" s="14">
        <f t="shared" si="0"/>
        <v>10109841.706265258</v>
      </c>
      <c r="P23" s="14">
        <f t="shared" si="0"/>
        <v>10520703.013812741</v>
      </c>
      <c r="Q23" s="14">
        <f t="shared" si="0"/>
        <v>10873997.382676413</v>
      </c>
    </row>
    <row r="24" spans="1:19" ht="15" customHeight="1" x14ac:dyDescent="0.2">
      <c r="A24" s="8" t="s">
        <v>487</v>
      </c>
      <c r="B24" s="14">
        <f>B23</f>
        <v>5246169</v>
      </c>
      <c r="C24" s="14">
        <f t="shared" ref="C24:Q24" si="1">(C23+B23)/2</f>
        <v>5302026</v>
      </c>
      <c r="D24" s="14">
        <f t="shared" si="1"/>
        <v>5347935.5</v>
      </c>
      <c r="E24" s="14">
        <f t="shared" si="1"/>
        <v>5479548.5</v>
      </c>
      <c r="F24" s="14">
        <f t="shared" si="1"/>
        <v>5722823</v>
      </c>
      <c r="G24" s="14">
        <f t="shared" si="1"/>
        <v>5816683.5</v>
      </c>
      <c r="H24" s="14">
        <f t="shared" si="1"/>
        <v>5963983.5</v>
      </c>
      <c r="I24" s="14">
        <f t="shared" si="1"/>
        <v>6247937.5</v>
      </c>
      <c r="J24" s="14">
        <f t="shared" si="1"/>
        <v>6500077.5</v>
      </c>
      <c r="K24" s="14">
        <f t="shared" si="1"/>
        <v>6810749</v>
      </c>
      <c r="L24" s="14">
        <f t="shared" si="1"/>
        <v>7021738</v>
      </c>
      <c r="M24" s="14">
        <f t="shared" si="1"/>
        <v>7841169.8205063408</v>
      </c>
      <c r="N24" s="14">
        <f t="shared" si="1"/>
        <v>8871777.7068145406</v>
      </c>
      <c r="O24" s="14">
        <f t="shared" si="1"/>
        <v>9608226.2394408286</v>
      </c>
      <c r="P24" s="14">
        <f t="shared" si="1"/>
        <v>10315272.360038999</v>
      </c>
      <c r="Q24" s="14">
        <f t="shared" si="1"/>
        <v>10697350.198244577</v>
      </c>
    </row>
    <row r="26" spans="1:19" ht="15" customHeight="1" x14ac:dyDescent="0.2">
      <c r="A26" s="3" t="s">
        <v>488</v>
      </c>
    </row>
    <row r="27" spans="1:19" ht="15" customHeight="1" x14ac:dyDescent="0.2">
      <c r="A27" s="8" t="s">
        <v>486</v>
      </c>
      <c r="B27" s="14">
        <f t="shared" ref="B27:Q27" si="2">B23</f>
        <v>5246169</v>
      </c>
      <c r="C27" s="14">
        <f t="shared" si="2"/>
        <v>5357883</v>
      </c>
      <c r="D27" s="14">
        <f t="shared" si="2"/>
        <v>5337988</v>
      </c>
      <c r="E27" s="14">
        <f t="shared" si="2"/>
        <v>5621109</v>
      </c>
      <c r="F27" s="14">
        <f t="shared" si="2"/>
        <v>5824537</v>
      </c>
      <c r="G27" s="14">
        <f t="shared" si="2"/>
        <v>5808830</v>
      </c>
      <c r="H27" s="14">
        <f t="shared" si="2"/>
        <v>6119137</v>
      </c>
      <c r="I27" s="14">
        <f t="shared" si="2"/>
        <v>6376738</v>
      </c>
      <c r="J27" s="14">
        <f t="shared" si="2"/>
        <v>6623417</v>
      </c>
      <c r="K27" s="14">
        <f t="shared" si="2"/>
        <v>6998081</v>
      </c>
      <c r="L27" s="14">
        <f t="shared" si="2"/>
        <v>7045395</v>
      </c>
      <c r="M27" s="14">
        <f t="shared" si="2"/>
        <v>8636944.6410126816</v>
      </c>
      <c r="N27" s="14">
        <f t="shared" si="2"/>
        <v>9106610.7726163995</v>
      </c>
      <c r="O27" s="14">
        <f t="shared" si="2"/>
        <v>10109841.706265258</v>
      </c>
      <c r="P27" s="14">
        <f t="shared" si="2"/>
        <v>10520703.013812741</v>
      </c>
      <c r="Q27" s="14">
        <f t="shared" si="2"/>
        <v>10873997.382676413</v>
      </c>
    </row>
    <row r="28" spans="1:19" ht="15" customHeight="1" x14ac:dyDescent="0.2">
      <c r="A28" s="8" t="s">
        <v>489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19" ht="15" customHeight="1" x14ac:dyDescent="0.2">
      <c r="A29" s="8" t="s">
        <v>490</v>
      </c>
      <c r="B29" s="14">
        <f t="shared" ref="B29:Q29" si="3">-B17</f>
        <v>-800000</v>
      </c>
      <c r="C29" s="14">
        <f t="shared" si="3"/>
        <v>-619157</v>
      </c>
      <c r="D29" s="14">
        <f t="shared" si="3"/>
        <v>-586901</v>
      </c>
      <c r="E29" s="14">
        <f t="shared" si="3"/>
        <v>-679249</v>
      </c>
      <c r="F29" s="14">
        <f t="shared" si="3"/>
        <v>-576557</v>
      </c>
      <c r="G29" s="14">
        <f t="shared" si="3"/>
        <v>-250021</v>
      </c>
      <c r="H29" s="14">
        <f t="shared" si="3"/>
        <v>-857206</v>
      </c>
      <c r="I29" s="14">
        <f t="shared" si="3"/>
        <v>-960548</v>
      </c>
      <c r="J29" s="14">
        <f t="shared" si="3"/>
        <v>-1267437</v>
      </c>
      <c r="K29" s="14">
        <f t="shared" si="3"/>
        <v>-1627325</v>
      </c>
      <c r="L29" s="14">
        <f t="shared" si="3"/>
        <v>-1602377</v>
      </c>
      <c r="M29" s="14">
        <f t="shared" si="3"/>
        <v>-2860222.3299015705</v>
      </c>
      <c r="N29" s="14">
        <f t="shared" si="3"/>
        <v>-3048359.6215052884</v>
      </c>
      <c r="O29" s="14">
        <f t="shared" si="3"/>
        <v>-3818790.5195985911</v>
      </c>
      <c r="P29" s="14">
        <f t="shared" si="3"/>
        <v>-3995502.8182571861</v>
      </c>
      <c r="Q29" s="14">
        <f t="shared" si="3"/>
        <v>-4113221.4271208583</v>
      </c>
    </row>
    <row r="30" spans="1:19" ht="15" customHeight="1" x14ac:dyDescent="0.2">
      <c r="A30" s="3" t="s">
        <v>491</v>
      </c>
      <c r="B30" s="14">
        <f t="shared" ref="B30:Q30" si="4">B27+B28+B29</f>
        <v>4446169</v>
      </c>
      <c r="C30" s="14">
        <f t="shared" si="4"/>
        <v>4738726</v>
      </c>
      <c r="D30" s="14">
        <f t="shared" si="4"/>
        <v>4751087</v>
      </c>
      <c r="E30" s="14">
        <f t="shared" si="4"/>
        <v>4941860</v>
      </c>
      <c r="F30" s="14">
        <f t="shared" si="4"/>
        <v>5247980</v>
      </c>
      <c r="G30" s="14">
        <f t="shared" si="4"/>
        <v>5558809</v>
      </c>
      <c r="H30" s="14">
        <f t="shared" si="4"/>
        <v>5261931</v>
      </c>
      <c r="I30" s="14">
        <f t="shared" si="4"/>
        <v>5416190</v>
      </c>
      <c r="J30" s="14">
        <f t="shared" si="4"/>
        <v>5355980</v>
      </c>
      <c r="K30" s="14">
        <f t="shared" si="4"/>
        <v>5370756</v>
      </c>
      <c r="L30" s="14">
        <f t="shared" si="4"/>
        <v>5443018</v>
      </c>
      <c r="M30" s="14">
        <f t="shared" si="4"/>
        <v>5776722.3111111112</v>
      </c>
      <c r="N30" s="14">
        <f t="shared" si="4"/>
        <v>6058251.151111111</v>
      </c>
      <c r="O30" s="14">
        <f t="shared" si="4"/>
        <v>6291051.1866666665</v>
      </c>
      <c r="P30" s="14">
        <f t="shared" si="4"/>
        <v>6525200.1955555547</v>
      </c>
      <c r="Q30" s="14">
        <f t="shared" si="4"/>
        <v>6760775.9555555545</v>
      </c>
    </row>
    <row r="31" spans="1:19" ht="15" customHeight="1" x14ac:dyDescent="0.2">
      <c r="A31" s="8" t="s">
        <v>492</v>
      </c>
      <c r="C31" s="14">
        <f t="shared" ref="C31:Q31" si="5">(C30+B30)/2</f>
        <v>4592447.5</v>
      </c>
      <c r="D31" s="14">
        <f t="shared" si="5"/>
        <v>4744906.5</v>
      </c>
      <c r="E31" s="14">
        <f t="shared" si="5"/>
        <v>4846473.5</v>
      </c>
      <c r="F31" s="14">
        <f t="shared" si="5"/>
        <v>5094920</v>
      </c>
      <c r="G31" s="14">
        <f t="shared" si="5"/>
        <v>5403394.5</v>
      </c>
      <c r="H31" s="14">
        <f t="shared" si="5"/>
        <v>5410370</v>
      </c>
      <c r="I31" s="14">
        <f t="shared" si="5"/>
        <v>5339060.5</v>
      </c>
      <c r="J31" s="14">
        <f t="shared" si="5"/>
        <v>5386085</v>
      </c>
      <c r="K31" s="14">
        <f t="shared" si="5"/>
        <v>5363368</v>
      </c>
      <c r="L31" s="14">
        <f t="shared" si="5"/>
        <v>5406887</v>
      </c>
      <c r="M31" s="14">
        <f t="shared" si="5"/>
        <v>5609870.1555555556</v>
      </c>
      <c r="N31" s="14">
        <f t="shared" si="5"/>
        <v>5917486.7311111111</v>
      </c>
      <c r="O31" s="14">
        <f t="shared" si="5"/>
        <v>6174651.1688888893</v>
      </c>
      <c r="P31" s="14">
        <f t="shared" si="5"/>
        <v>6408125.6911111102</v>
      </c>
      <c r="Q31" s="14">
        <f t="shared" si="5"/>
        <v>6642988.0755555546</v>
      </c>
    </row>
    <row r="33" spans="1:17" ht="15" customHeight="1" x14ac:dyDescent="0.2">
      <c r="A33" s="3" t="s">
        <v>493</v>
      </c>
    </row>
    <row r="34" spans="1:17" ht="15" customHeight="1" x14ac:dyDescent="0.2">
      <c r="A34" s="8" t="s">
        <v>297</v>
      </c>
      <c r="B34" s="19">
        <f>BS!B8</f>
        <v>5540299</v>
      </c>
      <c r="C34" s="19">
        <f>BS!C8</f>
        <v>5612568</v>
      </c>
      <c r="D34" s="19">
        <f>BS!D8</f>
        <v>5588000</v>
      </c>
      <c r="E34" s="19">
        <f>BS!E8</f>
        <v>5810000</v>
      </c>
      <c r="F34" s="19">
        <f>BS!F8</f>
        <v>5948400</v>
      </c>
      <c r="G34" s="19">
        <f>BS!G8</f>
        <v>5948955</v>
      </c>
      <c r="H34" s="19">
        <f>BS!H8</f>
        <v>6360000</v>
      </c>
      <c r="I34" s="19">
        <f>BS!I8</f>
        <v>6672000</v>
      </c>
      <c r="J34" s="19">
        <f>BS!J8</f>
        <v>7075000</v>
      </c>
      <c r="K34" s="19">
        <f>BS!K8</f>
        <v>7540000</v>
      </c>
      <c r="L34" s="19">
        <f>BS!L8</f>
        <v>7618000</v>
      </c>
      <c r="M34" s="19">
        <f>BS!M8</f>
        <v>9110944.6410126816</v>
      </c>
      <c r="N34" s="19">
        <f>BS!N8</f>
        <v>9581610.7726163995</v>
      </c>
      <c r="O34" s="19">
        <f>BS!O8</f>
        <v>10585841.706265258</v>
      </c>
      <c r="P34" s="19">
        <f>BS!P8</f>
        <v>10997703.013812741</v>
      </c>
      <c r="Q34" s="19">
        <f>BS!Q8</f>
        <v>11351997.382676413</v>
      </c>
    </row>
    <row r="35" spans="1:17" ht="15" customHeight="1" x14ac:dyDescent="0.2">
      <c r="A35" s="8" t="s">
        <v>494</v>
      </c>
      <c r="B35" s="14">
        <f t="shared" ref="B35:Q35" si="6">-B17</f>
        <v>-800000</v>
      </c>
      <c r="C35" s="14">
        <f t="shared" si="6"/>
        <v>-619157</v>
      </c>
      <c r="D35" s="14">
        <f t="shared" si="6"/>
        <v>-586901</v>
      </c>
      <c r="E35" s="14">
        <f t="shared" si="6"/>
        <v>-679249</v>
      </c>
      <c r="F35" s="14">
        <f t="shared" si="6"/>
        <v>-576557</v>
      </c>
      <c r="G35" s="14">
        <f t="shared" si="6"/>
        <v>-250021</v>
      </c>
      <c r="H35" s="14">
        <f t="shared" si="6"/>
        <v>-857206</v>
      </c>
      <c r="I35" s="14">
        <f t="shared" si="6"/>
        <v>-960548</v>
      </c>
      <c r="J35" s="14">
        <f t="shared" si="6"/>
        <v>-1267437</v>
      </c>
      <c r="K35" s="14">
        <f t="shared" si="6"/>
        <v>-1627325</v>
      </c>
      <c r="L35" s="14">
        <f t="shared" si="6"/>
        <v>-1602377</v>
      </c>
      <c r="M35" s="14">
        <f t="shared" si="6"/>
        <v>-2860222.3299015705</v>
      </c>
      <c r="N35" s="14">
        <f t="shared" si="6"/>
        <v>-3048359.6215052884</v>
      </c>
      <c r="O35" s="14">
        <f t="shared" si="6"/>
        <v>-3818790.5195985911</v>
      </c>
      <c r="P35" s="14">
        <f t="shared" si="6"/>
        <v>-3995502.8182571861</v>
      </c>
      <c r="Q35" s="14">
        <f t="shared" si="6"/>
        <v>-4113221.4271208583</v>
      </c>
    </row>
    <row r="36" spans="1:17" ht="15" customHeight="1" x14ac:dyDescent="0.2">
      <c r="A36" s="8" t="s">
        <v>495</v>
      </c>
      <c r="B36" s="14">
        <f t="shared" ref="B36:Q36" si="7">B34+B35</f>
        <v>4740299</v>
      </c>
      <c r="C36" s="14">
        <f t="shared" si="7"/>
        <v>4993411</v>
      </c>
      <c r="D36" s="14">
        <f t="shared" si="7"/>
        <v>5001099</v>
      </c>
      <c r="E36" s="14">
        <f t="shared" si="7"/>
        <v>5130751</v>
      </c>
      <c r="F36" s="14">
        <f t="shared" si="7"/>
        <v>5371843</v>
      </c>
      <c r="G36" s="14">
        <f t="shared" si="7"/>
        <v>5698934</v>
      </c>
      <c r="H36" s="14">
        <f t="shared" si="7"/>
        <v>5502794</v>
      </c>
      <c r="I36" s="14">
        <f t="shared" si="7"/>
        <v>5711452</v>
      </c>
      <c r="J36" s="14">
        <f t="shared" si="7"/>
        <v>5807563</v>
      </c>
      <c r="K36" s="14">
        <f t="shared" si="7"/>
        <v>5912675</v>
      </c>
      <c r="L36" s="14">
        <f t="shared" si="7"/>
        <v>6015623</v>
      </c>
      <c r="M36" s="14">
        <f t="shared" si="7"/>
        <v>6250722.3111111112</v>
      </c>
      <c r="N36" s="14">
        <f t="shared" si="7"/>
        <v>6533251.151111111</v>
      </c>
      <c r="O36" s="14">
        <f t="shared" si="7"/>
        <v>6767051.1866666665</v>
      </c>
      <c r="P36" s="14">
        <f t="shared" si="7"/>
        <v>7002200.1955555547</v>
      </c>
      <c r="Q36" s="14">
        <f t="shared" si="7"/>
        <v>7238775.9555555545</v>
      </c>
    </row>
    <row r="37" spans="1:17" ht="15" customHeight="1" x14ac:dyDescent="0.2">
      <c r="A37" s="8" t="s">
        <v>496</v>
      </c>
      <c r="B37" s="19">
        <f>BS!B8</f>
        <v>5540299</v>
      </c>
      <c r="C37" s="19">
        <f>(BS!C8+BS!B8)/2</f>
        <v>5576433.5</v>
      </c>
      <c r="D37" s="19">
        <f>(BS!D8+BS!C8)/2</f>
        <v>5600284</v>
      </c>
      <c r="E37" s="19">
        <f>(BS!E8+BS!D8)/2</f>
        <v>5699000</v>
      </c>
      <c r="F37" s="19">
        <f>(BS!F8+BS!E8)/2</f>
        <v>5879200</v>
      </c>
      <c r="G37" s="19">
        <f>(BS!G8+BS!F8)/2</f>
        <v>5948677.5</v>
      </c>
      <c r="H37" s="19">
        <f>(BS!H8+BS!G8)/2</f>
        <v>6154477.5</v>
      </c>
      <c r="I37" s="19">
        <f>(BS!I8+BS!H8)/2</f>
        <v>6516000</v>
      </c>
      <c r="J37" s="19">
        <f>(BS!J8+BS!I8)/2</f>
        <v>6873500</v>
      </c>
      <c r="K37" s="19">
        <f>(BS!K8+BS!J8)/2</f>
        <v>7307500</v>
      </c>
      <c r="L37" s="19">
        <f>(BS!L8+BS!K8)/2</f>
        <v>7579000</v>
      </c>
      <c r="M37" s="19">
        <f>(BS!M8+BS!L8)/2</f>
        <v>8364472.3205063408</v>
      </c>
      <c r="N37" s="19">
        <f>(BS!N8+BS!M8)/2</f>
        <v>9346277.7068145406</v>
      </c>
      <c r="O37" s="19">
        <f>(BS!O8+BS!N8)/2</f>
        <v>10083726.239440829</v>
      </c>
      <c r="P37" s="19">
        <f>(BS!P8+BS!O8)/2</f>
        <v>10791772.360038999</v>
      </c>
      <c r="Q37" s="19">
        <f>(BS!Q8+BS!P8)/2</f>
        <v>11174850.198244577</v>
      </c>
    </row>
    <row r="38" spans="1:17" ht="15" customHeight="1" x14ac:dyDescent="0.2">
      <c r="A38" s="8" t="s">
        <v>497</v>
      </c>
      <c r="B38" s="14">
        <f>B36</f>
        <v>4740299</v>
      </c>
      <c r="C38" s="14">
        <f t="shared" ref="C38:Q38" si="8">(C36+B36)/2</f>
        <v>4866855</v>
      </c>
      <c r="D38" s="14">
        <f t="shared" si="8"/>
        <v>4997255</v>
      </c>
      <c r="E38" s="14">
        <f t="shared" si="8"/>
        <v>5065925</v>
      </c>
      <c r="F38" s="14">
        <f t="shared" si="8"/>
        <v>5251297</v>
      </c>
      <c r="G38" s="14">
        <f t="shared" si="8"/>
        <v>5535388.5</v>
      </c>
      <c r="H38" s="14">
        <f t="shared" si="8"/>
        <v>5600864</v>
      </c>
      <c r="I38" s="14">
        <f t="shared" si="8"/>
        <v>5607123</v>
      </c>
      <c r="J38" s="14">
        <f t="shared" si="8"/>
        <v>5759507.5</v>
      </c>
      <c r="K38" s="14">
        <f t="shared" si="8"/>
        <v>5860119</v>
      </c>
      <c r="L38" s="14">
        <f t="shared" si="8"/>
        <v>5964149</v>
      </c>
      <c r="M38" s="14">
        <f t="shared" si="8"/>
        <v>6133172.6555555556</v>
      </c>
      <c r="N38" s="14">
        <f t="shared" si="8"/>
        <v>6391986.7311111111</v>
      </c>
      <c r="O38" s="14">
        <f t="shared" si="8"/>
        <v>6650151.1688888893</v>
      </c>
      <c r="P38" s="14">
        <f t="shared" si="8"/>
        <v>6884625.6911111102</v>
      </c>
      <c r="Q38" s="14">
        <f t="shared" si="8"/>
        <v>7120488.0755555546</v>
      </c>
    </row>
    <row r="39" spans="1:17" ht="15" customHeight="1" x14ac:dyDescent="0.2">
      <c r="A39" s="8" t="s">
        <v>498</v>
      </c>
      <c r="B39" s="14">
        <f>B20</f>
        <v>3210738</v>
      </c>
      <c r="C39" s="14">
        <f t="shared" ref="C39:Q39" si="9">(C20+B20)/2</f>
        <v>3116028.5</v>
      </c>
      <c r="D39" s="14">
        <f t="shared" si="9"/>
        <v>2918159.5</v>
      </c>
      <c r="E39" s="14">
        <f t="shared" si="9"/>
        <v>2877500</v>
      </c>
      <c r="F39" s="14">
        <f t="shared" si="9"/>
        <v>3029027.5</v>
      </c>
      <c r="G39" s="14">
        <f t="shared" si="9"/>
        <v>3041527.5</v>
      </c>
      <c r="H39" s="14">
        <f t="shared" si="9"/>
        <v>3085000</v>
      </c>
      <c r="I39" s="14">
        <f t="shared" si="9"/>
        <v>3210000</v>
      </c>
      <c r="J39" s="14">
        <f t="shared" si="9"/>
        <v>3287500</v>
      </c>
      <c r="K39" s="14">
        <f t="shared" si="9"/>
        <v>3565000</v>
      </c>
      <c r="L39" s="14">
        <f t="shared" si="9"/>
        <v>3685000</v>
      </c>
      <c r="M39" s="14">
        <f t="shared" si="9"/>
        <v>4299702.2576039853</v>
      </c>
      <c r="N39" s="14">
        <f t="shared" si="9"/>
        <v>5172316.3909911197</v>
      </c>
      <c r="O39" s="14">
        <f t="shared" si="9"/>
        <v>5818670.8182068141</v>
      </c>
      <c r="P39" s="14">
        <f t="shared" si="9"/>
        <v>6477098.6584259085</v>
      </c>
      <c r="Q39" s="14">
        <f t="shared" si="9"/>
        <v>6824859.7095957268</v>
      </c>
    </row>
    <row r="41" spans="1:17" ht="15" customHeight="1" x14ac:dyDescent="0.2">
      <c r="A41" s="3" t="s">
        <v>499</v>
      </c>
    </row>
    <row r="42" spans="1:17" ht="15" customHeight="1" x14ac:dyDescent="0.2">
      <c r="A42" s="8" t="s">
        <v>465</v>
      </c>
      <c r="B42" s="19">
        <f>IS!B20</f>
        <v>294702</v>
      </c>
      <c r="C42" s="19">
        <f>IS!C20</f>
        <v>253099</v>
      </c>
      <c r="D42" s="19">
        <f>IS!D20</f>
        <v>216083</v>
      </c>
      <c r="E42" s="19">
        <f>IS!E20</f>
        <v>226032</v>
      </c>
      <c r="F42" s="19">
        <f>IS!F20</f>
        <v>258793</v>
      </c>
      <c r="G42" s="19">
        <f>IS!G20</f>
        <v>269144</v>
      </c>
      <c r="H42" s="19">
        <f>IS!H20</f>
        <v>274340</v>
      </c>
      <c r="I42" s="19">
        <f>IS!I20</f>
        <v>287320</v>
      </c>
      <c r="J42" s="19">
        <f>IS!J20</f>
        <v>332989</v>
      </c>
      <c r="K42" s="19">
        <f>IS!K20</f>
        <v>382334</v>
      </c>
      <c r="L42" s="19">
        <f>IS!L20</f>
        <v>417561</v>
      </c>
      <c r="M42" s="19">
        <f>IS!M20</f>
        <v>432769.87044810236</v>
      </c>
      <c r="N42" s="19">
        <f>IS!N20</f>
        <v>455126.51169927896</v>
      </c>
      <c r="O42" s="19">
        <f>IS!O20</f>
        <v>476362.87678193656</v>
      </c>
      <c r="P42" s="19">
        <f>IS!P20</f>
        <v>494896.63562157331</v>
      </c>
      <c r="Q42" s="19">
        <f>IS!Q20</f>
        <v>510839.88222043857</v>
      </c>
    </row>
    <row r="43" spans="1:17" ht="15" customHeight="1" x14ac:dyDescent="0.2">
      <c r="A43" s="8" t="s">
        <v>466</v>
      </c>
      <c r="B43" s="19">
        <f>IS!B26</f>
        <v>-33407</v>
      </c>
      <c r="C43" s="19">
        <f>IS!C26</f>
        <v>-33947</v>
      </c>
      <c r="D43" s="19">
        <f>IS!D26</f>
        <v>-33402</v>
      </c>
      <c r="E43" s="19">
        <f>IS!E26</f>
        <v>-37813</v>
      </c>
      <c r="F43" s="19">
        <f>IS!F26</f>
        <v>-38645</v>
      </c>
      <c r="G43" s="19">
        <f>IS!G26</f>
        <v>-36069</v>
      </c>
      <c r="H43" s="19">
        <f>IS!H26</f>
        <v>-33282</v>
      </c>
      <c r="I43" s="19">
        <f>IS!I26</f>
        <v>-33859</v>
      </c>
      <c r="J43" s="19">
        <f>IS!J26</f>
        <v>-41172</v>
      </c>
      <c r="K43" s="19">
        <f>IS!K26</f>
        <v>-44791</v>
      </c>
      <c r="L43" s="19">
        <f>IS!L26</f>
        <v>-45700</v>
      </c>
      <c r="M43" s="19">
        <f>IS!M26</f>
        <v>-53338.543287769593</v>
      </c>
      <c r="N43" s="19">
        <f>IS!N26</f>
        <v>-56302.099571400606</v>
      </c>
      <c r="O43" s="19">
        <f>IS!O26</f>
        <v>-58042.418489020311</v>
      </c>
      <c r="P43" s="19">
        <f>IS!P26</f>
        <v>-60599.994597810764</v>
      </c>
      <c r="Q43" s="19">
        <f>IS!Q26</f>
        <v>-63266.493212072353</v>
      </c>
    </row>
    <row r="44" spans="1:17" ht="15" customHeight="1" x14ac:dyDescent="0.2">
      <c r="A44" s="8" t="s">
        <v>500</v>
      </c>
      <c r="B44" s="14">
        <f t="shared" ref="B44:Q44" si="10">B42+B43</f>
        <v>261295</v>
      </c>
      <c r="C44" s="14">
        <f t="shared" si="10"/>
        <v>219152</v>
      </c>
      <c r="D44" s="14">
        <f t="shared" si="10"/>
        <v>182681</v>
      </c>
      <c r="E44" s="14">
        <f t="shared" si="10"/>
        <v>188219</v>
      </c>
      <c r="F44" s="14">
        <f t="shared" si="10"/>
        <v>220148</v>
      </c>
      <c r="G44" s="14">
        <f t="shared" si="10"/>
        <v>233075</v>
      </c>
      <c r="H44" s="14">
        <f t="shared" si="10"/>
        <v>241058</v>
      </c>
      <c r="I44" s="14">
        <f t="shared" si="10"/>
        <v>253461</v>
      </c>
      <c r="J44" s="14">
        <f t="shared" si="10"/>
        <v>291817</v>
      </c>
      <c r="K44" s="14">
        <f t="shared" si="10"/>
        <v>337543</v>
      </c>
      <c r="L44" s="14">
        <f t="shared" si="10"/>
        <v>371861</v>
      </c>
      <c r="M44" s="14">
        <f t="shared" si="10"/>
        <v>379431.32716033276</v>
      </c>
      <c r="N44" s="14">
        <f t="shared" si="10"/>
        <v>398824.41212787834</v>
      </c>
      <c r="O44" s="14">
        <f t="shared" si="10"/>
        <v>418320.45829291624</v>
      </c>
      <c r="P44" s="14">
        <f t="shared" si="10"/>
        <v>434296.64102376252</v>
      </c>
      <c r="Q44" s="14">
        <f t="shared" si="10"/>
        <v>447573.38900836621</v>
      </c>
    </row>
    <row r="45" spans="1:17" ht="15" customHeight="1" x14ac:dyDescent="0.2">
      <c r="A45" s="8" t="s">
        <v>377</v>
      </c>
      <c r="B45" s="19">
        <f>FFO_AFFO!B18</f>
        <v>189317</v>
      </c>
      <c r="C45" s="19">
        <f>FFO_AFFO!C18</f>
        <v>149310</v>
      </c>
      <c r="D45" s="19">
        <f>FFO_AFFO!D18</f>
        <v>106530</v>
      </c>
      <c r="E45" s="19">
        <f>FFO_AFFO!E18</f>
        <v>111101</v>
      </c>
      <c r="F45" s="19">
        <f>FFO_AFFO!F18</f>
        <v>137179</v>
      </c>
      <c r="G45" s="19">
        <f>FFO_AFFO!G18</f>
        <v>146000</v>
      </c>
      <c r="H45" s="19">
        <f>FFO_AFFO!H18</f>
        <v>155894</v>
      </c>
      <c r="I45" s="19">
        <f>FFO_AFFO!I18</f>
        <v>161816</v>
      </c>
      <c r="J45" s="19">
        <f>FFO_AFFO!J18</f>
        <v>185139</v>
      </c>
      <c r="K45" s="19">
        <f>FFO_AFFO!K18</f>
        <v>220787</v>
      </c>
      <c r="L45" s="19">
        <f>FFO_AFFO!L18</f>
        <v>247644</v>
      </c>
      <c r="M45" s="19">
        <f>FFO_AFFO!M18</f>
        <v>250199.18530640006</v>
      </c>
      <c r="N45" s="19">
        <f>FFO_AFFO!N18</f>
        <v>268991.45996257965</v>
      </c>
      <c r="O45" s="19">
        <f>FFO_AFFO!O18</f>
        <v>290424.20477178949</v>
      </c>
      <c r="P45" s="19">
        <f>FFO_AFFO!P18</f>
        <v>309893.27891450166</v>
      </c>
      <c r="Q45" s="19">
        <f>FFO_AFFO!Q18</f>
        <v>327132.91590286844</v>
      </c>
    </row>
    <row r="46" spans="1:17" ht="15" customHeight="1" x14ac:dyDescent="0.2">
      <c r="A46" s="8" t="s">
        <v>501</v>
      </c>
      <c r="B46" s="19">
        <f>FFO_AFFO!B28</f>
        <v>172261</v>
      </c>
      <c r="C46" s="19">
        <f>FFO_AFFO!C28</f>
        <v>131776</v>
      </c>
      <c r="D46" s="19">
        <f>FFO_AFFO!D28</f>
        <v>84793</v>
      </c>
      <c r="E46" s="19">
        <f>FFO_AFFO!E28</f>
        <v>87989</v>
      </c>
      <c r="F46" s="19">
        <f>FFO_AFFO!F28</f>
        <v>113119</v>
      </c>
      <c r="G46" s="19">
        <f>FFO_AFFO!G28</f>
        <v>126138</v>
      </c>
      <c r="H46" s="19">
        <f>FFO_AFFO!H28</f>
        <v>123607</v>
      </c>
      <c r="I46" s="19">
        <f>FFO_AFFO!I28</f>
        <v>130553</v>
      </c>
      <c r="J46" s="19">
        <f>FFO_AFFO!J28</f>
        <v>152884</v>
      </c>
      <c r="K46" s="19">
        <f>FFO_AFFO!K28</f>
        <v>187212</v>
      </c>
      <c r="L46" s="19">
        <f>FFO_AFFO!L28</f>
        <v>212644</v>
      </c>
      <c r="M46" s="19">
        <f>FFO_AFFO!M28</f>
        <v>213602.71863973339</v>
      </c>
      <c r="N46" s="19">
        <f>FFO_AFFO!N28</f>
        <v>231811.65996257967</v>
      </c>
      <c r="O46" s="19">
        <f>FFO_AFFO!O28</f>
        <v>251168.38254956726</v>
      </c>
      <c r="P46" s="19">
        <f>FFO_AFFO!P28</f>
        <v>270331.90113672393</v>
      </c>
      <c r="Q46" s="19">
        <f>FFO_AFFO!Q28</f>
        <v>285453.84923620179</v>
      </c>
    </row>
    <row r="48" spans="1:17" ht="15" customHeight="1" x14ac:dyDescent="0.2">
      <c r="A48" s="3" t="s">
        <v>502</v>
      </c>
    </row>
    <row r="49" spans="1:17" ht="15" customHeight="1" x14ac:dyDescent="0.2">
      <c r="A49" s="8" t="s">
        <v>503</v>
      </c>
      <c r="C49" s="34">
        <f>IF((C42&lt;&gt;0),C42/((BS!C8+BS!B8)/2),0)</f>
        <v>4.5387253340329441E-2</v>
      </c>
      <c r="D49" s="34">
        <f>IF((D42&lt;&gt;0),D42/((BS!D8+BS!C8)/2),0)</f>
        <v>3.8584293225129296E-2</v>
      </c>
      <c r="E49" s="34">
        <f>IF((E42&lt;&gt;0),E42/((BS!E8+BS!D8)/2),0)</f>
        <v>3.9661695034216529E-2</v>
      </c>
      <c r="F49" s="34">
        <f>IF((F42&lt;&gt;0),F42/((BS!F8+BS!E8)/2),0)</f>
        <v>4.4018403864471353E-2</v>
      </c>
      <c r="G49" s="34">
        <f>IF((G42&lt;&gt;0),G42/((BS!G8+BS!F8)/2),0)</f>
        <v>4.5244342124783198E-2</v>
      </c>
      <c r="H49" s="34">
        <f>IF((H42&lt;&gt;0),H42/((BS!H8+BS!G8)/2),0)</f>
        <v>4.4575676814156848E-2</v>
      </c>
      <c r="I49" s="34">
        <f>IF((I42&lt;&gt;0),I42/((BS!I8+BS!H8)/2),0)</f>
        <v>4.409453652547575E-2</v>
      </c>
      <c r="J49" s="34">
        <f>IF((J42&lt;&gt;0),J42/((BS!J8+BS!I8)/2),0)</f>
        <v>4.8445333527315053E-2</v>
      </c>
      <c r="K49" s="34">
        <f>IF((K42&lt;&gt;0),K42/((BS!K8+BS!J8)/2),0)</f>
        <v>5.2320766335956212E-2</v>
      </c>
      <c r="L49" s="34">
        <f>IF((L42&lt;&gt;0),L42/((BS!L8+BS!K8)/2),0)</f>
        <v>5.509447156616968E-2</v>
      </c>
      <c r="M49" s="34">
        <f>IF((M42&lt;&gt;0),M42/((BS!M8+BS!L8)/2),0)</f>
        <v>5.1739052251643387E-2</v>
      </c>
      <c r="N49" s="34">
        <f>IF((N42&lt;&gt;0),N42/((BS!N8+BS!M8)/2),0)</f>
        <v>4.8696018455287066E-2</v>
      </c>
      <c r="O49" s="34">
        <f>IF((O42&lt;&gt;0),O42/((BS!O8+BS!N8)/2),0)</f>
        <v>4.7240758571838445E-2</v>
      </c>
      <c r="P49" s="34">
        <f>IF((P42&lt;&gt;0),P42/((BS!P8+BS!O8)/2),0)</f>
        <v>4.5858698563188083E-2</v>
      </c>
      <c r="Q49" s="34">
        <f>IF((Q42&lt;&gt;0),Q42/((BS!Q8+BS!P8)/2),0)</f>
        <v>4.5713353929405232E-2</v>
      </c>
    </row>
    <row r="50" spans="1:17" ht="15" customHeight="1" x14ac:dyDescent="0.2">
      <c r="A50" s="8" t="s">
        <v>504</v>
      </c>
      <c r="C50" s="16">
        <f t="shared" ref="C50:Q50" si="11">IF((C23+B23)&lt;&gt;0,C44/((C23+B23)/2),0)</f>
        <v>4.1333633595912203E-2</v>
      </c>
      <c r="D50" s="16">
        <f t="shared" si="11"/>
        <v>3.4159162914362003E-2</v>
      </c>
      <c r="E50" s="16">
        <f t="shared" si="11"/>
        <v>3.4349362908276108E-2</v>
      </c>
      <c r="F50" s="16">
        <f t="shared" si="11"/>
        <v>3.8468427208040508E-2</v>
      </c>
      <c r="G50" s="16">
        <f t="shared" si="11"/>
        <v>4.0070084610929924E-2</v>
      </c>
      <c r="H50" s="16">
        <f t="shared" si="11"/>
        <v>4.0418958234877747E-2</v>
      </c>
      <c r="I50" s="16">
        <f t="shared" si="11"/>
        <v>4.0567147158562328E-2</v>
      </c>
      <c r="J50" s="16">
        <f t="shared" si="11"/>
        <v>4.4894387797683948E-2</v>
      </c>
      <c r="K50" s="16">
        <f t="shared" si="11"/>
        <v>4.9560334700339125E-2</v>
      </c>
      <c r="L50" s="16">
        <f t="shared" si="11"/>
        <v>5.295854103357317E-2</v>
      </c>
      <c r="M50" s="16">
        <f t="shared" si="11"/>
        <v>4.8389632649969962E-2</v>
      </c>
      <c r="N50" s="16">
        <f t="shared" si="11"/>
        <v>4.4954283719432643E-2</v>
      </c>
      <c r="O50" s="16">
        <f t="shared" si="11"/>
        <v>4.3537740251759653E-2</v>
      </c>
      <c r="P50" s="16">
        <f t="shared" si="11"/>
        <v>4.2102295108194368E-2</v>
      </c>
      <c r="Q50" s="16">
        <f t="shared" si="11"/>
        <v>4.1839650073511897E-2</v>
      </c>
    </row>
    <row r="51" spans="1:17" ht="15" customHeight="1" x14ac:dyDescent="0.2">
      <c r="A51" s="8" t="s">
        <v>505</v>
      </c>
      <c r="C51" s="16">
        <f t="shared" ref="C51:Q51" si="12">IF(C24&lt;&gt;0,C45/C24,0)</f>
        <v>2.8160933197988843E-2</v>
      </c>
      <c r="D51" s="16">
        <f t="shared" si="12"/>
        <v>1.9919836355543181E-2</v>
      </c>
      <c r="E51" s="16">
        <f t="shared" si="12"/>
        <v>2.027557562452454E-2</v>
      </c>
      <c r="F51" s="16">
        <f t="shared" si="12"/>
        <v>2.3970512455129225E-2</v>
      </c>
      <c r="G51" s="16">
        <f t="shared" si="12"/>
        <v>2.5100213893363803E-2</v>
      </c>
      <c r="H51" s="16">
        <f t="shared" si="12"/>
        <v>2.6139240660206387E-2</v>
      </c>
      <c r="I51" s="16">
        <f t="shared" si="12"/>
        <v>2.589910670521272E-2</v>
      </c>
      <c r="J51" s="16">
        <f t="shared" si="12"/>
        <v>2.8482583476889315E-2</v>
      </c>
      <c r="K51" s="16">
        <f t="shared" si="12"/>
        <v>3.2417433089958238E-2</v>
      </c>
      <c r="L51" s="16">
        <f t="shared" si="12"/>
        <v>3.5268191436365184E-2</v>
      </c>
      <c r="M51" s="16">
        <f t="shared" si="12"/>
        <v>3.1908400281304393E-2</v>
      </c>
      <c r="N51" s="16">
        <f t="shared" si="12"/>
        <v>3.0319905305558257E-2</v>
      </c>
      <c r="O51" s="16">
        <f t="shared" si="12"/>
        <v>3.0226620141356221E-2</v>
      </c>
      <c r="P51" s="16">
        <f t="shared" si="12"/>
        <v>3.0042180962183536E-2</v>
      </c>
      <c r="Q51" s="16">
        <f t="shared" si="12"/>
        <v>3.058074287934881E-2</v>
      </c>
    </row>
    <row r="52" spans="1:17" ht="15" customHeight="1" x14ac:dyDescent="0.2">
      <c r="A52" s="8" t="s">
        <v>506</v>
      </c>
      <c r="C52" s="16">
        <f t="shared" ref="C52:Q52" si="13">IF((C20+B20)&lt;&gt;0,C45/((C20+B20)/2),0)</f>
        <v>4.79167632773577E-2</v>
      </c>
      <c r="D52" s="16">
        <f t="shared" si="13"/>
        <v>3.6505886672746984E-2</v>
      </c>
      <c r="E52" s="16">
        <f t="shared" si="13"/>
        <v>3.8610251954821893E-2</v>
      </c>
      <c r="F52" s="16">
        <f t="shared" si="13"/>
        <v>4.5288132907344021E-2</v>
      </c>
      <c r="G52" s="16">
        <f t="shared" si="13"/>
        <v>4.8002196264870199E-2</v>
      </c>
      <c r="H52" s="16">
        <f t="shared" si="13"/>
        <v>5.0532901134521878E-2</v>
      </c>
      <c r="I52" s="16">
        <f t="shared" si="13"/>
        <v>5.0409968847352028E-2</v>
      </c>
      <c r="J52" s="16">
        <f t="shared" si="13"/>
        <v>5.6316045627376424E-2</v>
      </c>
      <c r="K52" s="16">
        <f t="shared" si="13"/>
        <v>6.1931837307152876E-2</v>
      </c>
      <c r="L52" s="16">
        <f t="shared" si="13"/>
        <v>6.7203256445047488E-2</v>
      </c>
      <c r="M52" s="16">
        <f t="shared" si="13"/>
        <v>5.8189886256408807E-2</v>
      </c>
      <c r="N52" s="16">
        <f t="shared" si="13"/>
        <v>5.2005994921558829E-2</v>
      </c>
      <c r="O52" s="16">
        <f t="shared" si="13"/>
        <v>4.9912465208212589E-2</v>
      </c>
      <c r="P52" s="16">
        <f t="shared" si="13"/>
        <v>4.7844458646830804E-2</v>
      </c>
      <c r="Q52" s="16">
        <f t="shared" si="13"/>
        <v>4.7932548040939334E-2</v>
      </c>
    </row>
    <row r="53" spans="1:17" ht="15" customHeight="1" x14ac:dyDescent="0.2">
      <c r="A53" s="8" t="s">
        <v>507</v>
      </c>
      <c r="C53" s="16">
        <f t="shared" ref="C53:Q53" si="14">IF(C39&lt;&gt;0,C46/C39,0)</f>
        <v>4.2289728736434856E-2</v>
      </c>
      <c r="D53" s="16">
        <f t="shared" si="14"/>
        <v>2.9057013504573688E-2</v>
      </c>
      <c r="E53" s="16">
        <f t="shared" si="14"/>
        <v>3.0578279756733277E-2</v>
      </c>
      <c r="F53" s="16">
        <f t="shared" si="14"/>
        <v>3.7344989439679899E-2</v>
      </c>
      <c r="G53" s="16">
        <f t="shared" si="14"/>
        <v>4.1471924879850665E-2</v>
      </c>
      <c r="H53" s="16">
        <f t="shared" si="14"/>
        <v>4.0067098865478122E-2</v>
      </c>
      <c r="I53" s="16">
        <f t="shared" si="14"/>
        <v>4.0670716510903426E-2</v>
      </c>
      <c r="J53" s="16">
        <f t="shared" si="14"/>
        <v>4.6504638783269964E-2</v>
      </c>
      <c r="K53" s="16">
        <f t="shared" si="14"/>
        <v>5.2513884992987377E-2</v>
      </c>
      <c r="L53" s="16">
        <f t="shared" si="14"/>
        <v>5.7705291723202171E-2</v>
      </c>
      <c r="M53" s="16">
        <f t="shared" si="14"/>
        <v>4.967849070525264E-2</v>
      </c>
      <c r="N53" s="16">
        <f t="shared" si="14"/>
        <v>4.4817764892793016E-2</v>
      </c>
      <c r="O53" s="16">
        <f t="shared" si="14"/>
        <v>4.3165937788343871E-2</v>
      </c>
      <c r="P53" s="16">
        <f t="shared" si="14"/>
        <v>4.1736573023332814E-2</v>
      </c>
      <c r="Q53" s="16">
        <f t="shared" si="14"/>
        <v>4.1825599555527095E-2</v>
      </c>
    </row>
    <row r="55" spans="1:17" ht="15" customHeight="1" x14ac:dyDescent="0.2">
      <c r="A55" s="3" t="s">
        <v>508</v>
      </c>
    </row>
    <row r="56" spans="1:17" ht="15" customHeight="1" x14ac:dyDescent="0.2">
      <c r="A56" s="8" t="s">
        <v>509</v>
      </c>
      <c r="C56" s="16">
        <f t="shared" ref="C56:Q56" si="15">IF((C36+B36)&lt;&gt;0,C42/((C36+B36)/2),0)</f>
        <v>5.2004631327623278E-2</v>
      </c>
      <c r="D56" s="16">
        <f t="shared" si="15"/>
        <v>4.3240338946081397E-2</v>
      </c>
      <c r="E56" s="16">
        <f t="shared" si="15"/>
        <v>4.4618110216791601E-2</v>
      </c>
      <c r="F56" s="16">
        <f t="shared" si="15"/>
        <v>4.9281729827888233E-2</v>
      </c>
      <c r="G56" s="16">
        <f t="shared" si="15"/>
        <v>4.8622422798327528E-2</v>
      </c>
      <c r="H56" s="16">
        <f t="shared" si="15"/>
        <v>4.8981728533312001E-2</v>
      </c>
      <c r="I56" s="16">
        <f t="shared" si="15"/>
        <v>5.1241964907850247E-2</v>
      </c>
      <c r="J56" s="16">
        <f t="shared" si="15"/>
        <v>5.7815533706658075E-2</v>
      </c>
      <c r="K56" s="16">
        <f t="shared" si="15"/>
        <v>6.5243384989280936E-2</v>
      </c>
      <c r="L56" s="16">
        <f t="shared" si="15"/>
        <v>7.0011832367031748E-2</v>
      </c>
      <c r="M56" s="16">
        <f t="shared" si="15"/>
        <v>7.0562153513824596E-2</v>
      </c>
      <c r="N56" s="16">
        <f t="shared" si="15"/>
        <v>7.1202668410446604E-2</v>
      </c>
      <c r="O56" s="16">
        <f t="shared" si="15"/>
        <v>7.1631886957770841E-2</v>
      </c>
      <c r="P56" s="16">
        <f t="shared" si="15"/>
        <v>7.1884319907260186E-2</v>
      </c>
      <c r="Q56" s="16">
        <f t="shared" si="15"/>
        <v>7.1742256541955068E-2</v>
      </c>
    </row>
    <row r="57" spans="1:17" ht="15" customHeight="1" x14ac:dyDescent="0.2">
      <c r="A57" s="8" t="s">
        <v>510</v>
      </c>
      <c r="C57" s="16">
        <f t="shared" ref="C57:Q57" si="16">IF(C31&lt;&gt;0,C44/C31,0)</f>
        <v>4.7720088253594625E-2</v>
      </c>
      <c r="D57" s="16">
        <f t="shared" si="16"/>
        <v>3.8500442527160443E-2</v>
      </c>
      <c r="E57" s="16">
        <f t="shared" si="16"/>
        <v>3.883627961650879E-2</v>
      </c>
      <c r="F57" s="16">
        <f t="shared" si="16"/>
        <v>4.3209314375888139E-2</v>
      </c>
      <c r="G57" s="16">
        <f t="shared" si="16"/>
        <v>4.3134921945824981E-2</v>
      </c>
      <c r="H57" s="16">
        <f t="shared" si="16"/>
        <v>4.4554808636008261E-2</v>
      </c>
      <c r="I57" s="16">
        <f t="shared" si="16"/>
        <v>4.7472958959727092E-2</v>
      </c>
      <c r="J57" s="16">
        <f t="shared" si="16"/>
        <v>5.4179798499281021E-2</v>
      </c>
      <c r="K57" s="16">
        <f t="shared" si="16"/>
        <v>6.2934894640830172E-2</v>
      </c>
      <c r="L57" s="16">
        <f t="shared" si="16"/>
        <v>6.8775433997418478E-2</v>
      </c>
      <c r="M57" s="16">
        <f t="shared" si="16"/>
        <v>6.7636383131715633E-2</v>
      </c>
      <c r="N57" s="16">
        <f t="shared" si="16"/>
        <v>6.7397601422756734E-2</v>
      </c>
      <c r="O57" s="16">
        <f t="shared" si="16"/>
        <v>6.7748030917217275E-2</v>
      </c>
      <c r="P57" s="16">
        <f t="shared" si="16"/>
        <v>6.7772803149942509E-2</v>
      </c>
      <c r="Q57" s="16">
        <f t="shared" si="16"/>
        <v>6.7375311218052361E-2</v>
      </c>
    </row>
    <row r="58" spans="1:17" ht="15" customHeight="1" x14ac:dyDescent="0.2">
      <c r="A58" s="8" t="s">
        <v>511</v>
      </c>
      <c r="C58" s="16">
        <f t="shared" ref="C58:Q58" si="17">IF(C31&lt;&gt;0,C45/C31,0)</f>
        <v>3.2512075532708865E-2</v>
      </c>
      <c r="D58" s="16">
        <f t="shared" si="17"/>
        <v>2.2451443458369517E-2</v>
      </c>
      <c r="E58" s="16">
        <f t="shared" si="17"/>
        <v>2.2924091094277108E-2</v>
      </c>
      <c r="F58" s="16">
        <f t="shared" si="17"/>
        <v>2.6924662212556821E-2</v>
      </c>
      <c r="G58" s="16">
        <f t="shared" si="17"/>
        <v>2.7020051932169675E-2</v>
      </c>
      <c r="H58" s="16">
        <f t="shared" si="17"/>
        <v>2.8813925849803249E-2</v>
      </c>
      <c r="I58" s="16">
        <f t="shared" si="17"/>
        <v>3.0307953993029296E-2</v>
      </c>
      <c r="J58" s="16">
        <f t="shared" si="17"/>
        <v>3.4373575611970478E-2</v>
      </c>
      <c r="K58" s="16">
        <f t="shared" si="17"/>
        <v>4.116573764843285E-2</v>
      </c>
      <c r="L58" s="16">
        <f t="shared" si="17"/>
        <v>4.5801586014281415E-2</v>
      </c>
      <c r="M58" s="16">
        <f t="shared" si="17"/>
        <v>4.4599817530290485E-2</v>
      </c>
      <c r="N58" s="16">
        <f t="shared" si="17"/>
        <v>4.5457044888391633E-2</v>
      </c>
      <c r="O58" s="16">
        <f t="shared" si="17"/>
        <v>4.7034916925363816E-2</v>
      </c>
      <c r="P58" s="16">
        <f t="shared" si="17"/>
        <v>4.8359425805951851E-2</v>
      </c>
      <c r="Q58" s="16">
        <f t="shared" si="17"/>
        <v>4.9244844666608896E-2</v>
      </c>
    </row>
    <row r="59" spans="1:17" ht="15" customHeight="1" x14ac:dyDescent="0.2">
      <c r="A59" s="8" t="s">
        <v>512</v>
      </c>
      <c r="C59" s="16">
        <f t="shared" ref="C59:Q59" si="18">IF(C31&lt;&gt;0,C46/C31,0)</f>
        <v>2.8694067814602126E-2</v>
      </c>
      <c r="D59" s="16">
        <f t="shared" si="18"/>
        <v>1.7870320521595102E-2</v>
      </c>
      <c r="E59" s="16">
        <f t="shared" si="18"/>
        <v>1.8155262790563075E-2</v>
      </c>
      <c r="F59" s="16">
        <f t="shared" si="18"/>
        <v>2.2202311321865703E-2</v>
      </c>
      <c r="G59" s="16">
        <f t="shared" si="18"/>
        <v>2.3344214456301499E-2</v>
      </c>
      <c r="H59" s="16">
        <f t="shared" si="18"/>
        <v>2.2846311804922768E-2</v>
      </c>
      <c r="I59" s="16">
        <f t="shared" si="18"/>
        <v>2.4452429411504141E-2</v>
      </c>
      <c r="J59" s="16">
        <f t="shared" si="18"/>
        <v>2.8384995780794398E-2</v>
      </c>
      <c r="K59" s="16">
        <f t="shared" si="18"/>
        <v>3.4905678670566702E-2</v>
      </c>
      <c r="L59" s="16">
        <f t="shared" si="18"/>
        <v>3.9328360293085465E-2</v>
      </c>
      <c r="M59" s="16">
        <f t="shared" si="18"/>
        <v>3.807623219731722E-2</v>
      </c>
      <c r="N59" s="16">
        <f t="shared" si="18"/>
        <v>3.9174005873783009E-2</v>
      </c>
      <c r="O59" s="16">
        <f t="shared" si="18"/>
        <v>4.0677339606662234E-2</v>
      </c>
      <c r="P59" s="16">
        <f t="shared" si="18"/>
        <v>4.2185798807240757E-2</v>
      </c>
      <c r="Q59" s="16">
        <f t="shared" si="18"/>
        <v>4.297070023151129E-2</v>
      </c>
    </row>
    <row r="61" spans="1:17" ht="15" customHeight="1" x14ac:dyDescent="0.2">
      <c r="A61" s="3" t="s">
        <v>513</v>
      </c>
    </row>
    <row r="62" spans="1:17" ht="15" customHeight="1" x14ac:dyDescent="0.2">
      <c r="A62" s="8" t="s">
        <v>514</v>
      </c>
      <c r="C62" s="14">
        <f t="shared" ref="C62:Q62" si="19">(C57-C50)*10000</f>
        <v>63.864546576824225</v>
      </c>
      <c r="D62" s="14">
        <f t="shared" si="19"/>
        <v>43.412796127984407</v>
      </c>
      <c r="E62" s="14">
        <f t="shared" si="19"/>
        <v>44.869167082326811</v>
      </c>
      <c r="F62" s="14">
        <f t="shared" si="19"/>
        <v>47.408871678476309</v>
      </c>
      <c r="G62" s="14">
        <f t="shared" si="19"/>
        <v>30.648373348950571</v>
      </c>
      <c r="H62" s="14">
        <f t="shared" si="19"/>
        <v>41.358504011305143</v>
      </c>
      <c r="I62" s="14">
        <f t="shared" si="19"/>
        <v>69.058118011647636</v>
      </c>
      <c r="J62" s="14">
        <f t="shared" si="19"/>
        <v>92.854107015970726</v>
      </c>
      <c r="K62" s="14">
        <f t="shared" si="19"/>
        <v>133.74559940491048</v>
      </c>
      <c r="L62" s="14">
        <f t="shared" si="19"/>
        <v>158.16892963845308</v>
      </c>
      <c r="M62" s="14">
        <f t="shared" si="19"/>
        <v>192.4675048174567</v>
      </c>
      <c r="N62" s="14">
        <f t="shared" si="19"/>
        <v>224.4331770332409</v>
      </c>
      <c r="O62" s="14">
        <f t="shared" si="19"/>
        <v>242.10290665457623</v>
      </c>
      <c r="P62" s="14">
        <f t="shared" si="19"/>
        <v>256.70508041748144</v>
      </c>
      <c r="Q62" s="14">
        <f t="shared" si="19"/>
        <v>255.35661144540464</v>
      </c>
    </row>
    <row r="64" spans="1:17" ht="15" customHeight="1" x14ac:dyDescent="0.2">
      <c r="A64" s="8" t="s">
        <v>515</v>
      </c>
      <c r="B64" s="9">
        <f t="shared" ref="B64:Q64" si="20">IF(B34&lt;&gt;0,B17/B34,0)</f>
        <v>0.14439653888716114</v>
      </c>
      <c r="C64" s="9">
        <f t="shared" si="20"/>
        <v>0.11031616899786337</v>
      </c>
      <c r="D64" s="9">
        <f t="shared" si="20"/>
        <v>0.10502881173944166</v>
      </c>
      <c r="E64" s="9">
        <f t="shared" si="20"/>
        <v>0.11691032702237522</v>
      </c>
      <c r="F64" s="9">
        <f t="shared" si="20"/>
        <v>9.6926400376571853E-2</v>
      </c>
      <c r="G64" s="9">
        <f t="shared" si="20"/>
        <v>4.2027717473068799E-2</v>
      </c>
      <c r="H64" s="9">
        <f t="shared" si="20"/>
        <v>0.13478081761006289</v>
      </c>
      <c r="I64" s="9">
        <f t="shared" si="20"/>
        <v>0.14396702637889688</v>
      </c>
      <c r="J64" s="9">
        <f t="shared" si="20"/>
        <v>0.17914303886925795</v>
      </c>
      <c r="K64" s="9">
        <f t="shared" si="20"/>
        <v>0.21582559681697613</v>
      </c>
      <c r="L64" s="9">
        <f t="shared" si="20"/>
        <v>0.21034090312417958</v>
      </c>
      <c r="M64" s="9">
        <f t="shared" si="20"/>
        <v>0.31393257698289084</v>
      </c>
      <c r="N64" s="9">
        <f t="shared" si="20"/>
        <v>0.31814688509548894</v>
      </c>
      <c r="O64" s="9">
        <f t="shared" si="20"/>
        <v>0.36074509949817501</v>
      </c>
      <c r="P64" s="9">
        <f t="shared" si="20"/>
        <v>0.36330339283020924</v>
      </c>
      <c r="Q64" s="9">
        <f t="shared" si="20"/>
        <v>0.36233459967122555</v>
      </c>
    </row>
    <row r="65" spans="1:17" ht="15" customHeight="1" x14ac:dyDescent="0.2">
      <c r="A65" s="8" t="s">
        <v>516</v>
      </c>
      <c r="B65" s="9">
        <f t="shared" ref="B65:Q65" si="21">IF(B30&lt;&gt;0,B23/B30-1,0)</f>
        <v>0.1799301825909001</v>
      </c>
      <c r="C65" s="9">
        <f t="shared" si="21"/>
        <v>0.13065895770297753</v>
      </c>
      <c r="D65" s="9">
        <f t="shared" si="21"/>
        <v>0.12352983643532522</v>
      </c>
      <c r="E65" s="9">
        <f t="shared" si="21"/>
        <v>0.13744804587746318</v>
      </c>
      <c r="F65" s="9">
        <f t="shared" si="21"/>
        <v>0.1098626519155943</v>
      </c>
      <c r="G65" s="9">
        <f t="shared" si="21"/>
        <v>4.4977440311404937E-2</v>
      </c>
      <c r="H65" s="9">
        <f t="shared" si="21"/>
        <v>0.16290711527764246</v>
      </c>
      <c r="I65" s="9">
        <f t="shared" si="21"/>
        <v>0.17734754504550243</v>
      </c>
      <c r="J65" s="9">
        <f t="shared" si="21"/>
        <v>0.23663960657059957</v>
      </c>
      <c r="K65" s="9">
        <f t="shared" si="21"/>
        <v>0.30299738062946813</v>
      </c>
      <c r="L65" s="9">
        <f t="shared" si="21"/>
        <v>0.29439127337076609</v>
      </c>
      <c r="M65" s="9">
        <f t="shared" si="21"/>
        <v>0.4951289288045122</v>
      </c>
      <c r="N65" s="9">
        <f t="shared" si="21"/>
        <v>0.50317485120210059</v>
      </c>
      <c r="O65" s="9">
        <f t="shared" si="21"/>
        <v>0.60701946404317675</v>
      </c>
      <c r="P65" s="9">
        <f t="shared" si="21"/>
        <v>0.61231880992380949</v>
      </c>
      <c r="Q65" s="9">
        <f t="shared" si="21"/>
        <v>0.60839487274251236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Assumptions</vt:lpstr>
      <vt:lpstr>Return Profile</vt:lpstr>
      <vt:lpstr>IS</vt:lpstr>
      <vt:lpstr>BS</vt:lpstr>
      <vt:lpstr>CFS</vt:lpstr>
      <vt:lpstr>FFO_AFFO</vt:lpstr>
      <vt:lpstr>CFS-FCF</vt:lpstr>
      <vt:lpstr>Ops</vt:lpstr>
      <vt:lpstr>ROIC</vt:lpstr>
      <vt:lpstr>Amplification</vt:lpstr>
      <vt:lpstr>Value Leakage</vt:lpstr>
      <vt:lpstr>Implied Cap</vt:lpstr>
      <vt:lpstr>Capex Detail</vt:lpstr>
      <vt:lpstr>Capital Recycling</vt:lpstr>
      <vt:lpstr>Development Pipeline</vt:lpstr>
      <vt:lpstr>IP Rollforward</vt:lpstr>
      <vt:lpstr>Debt Maturity</vt:lpstr>
      <vt:lpstr>Sources &amp; Uses</vt:lpstr>
      <vt:lpstr>NAV &amp; Buyback</vt:lpstr>
      <vt:lpstr>Private Buyer Math</vt:lpstr>
      <vt:lpstr>Scenario Builder</vt:lpstr>
      <vt:lpstr>Capital Scenarios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Josh Varghese</cp:lastModifiedBy>
  <cp:revision>0</cp:revision>
  <dcterms:created xsi:type="dcterms:W3CDTF">2026-03-05T15:09:23Z</dcterms:created>
  <dcterms:modified xsi:type="dcterms:W3CDTF">2026-03-05T19:27:36Z</dcterms:modified>
  <dc:language>en-US</dc:language>
</cp:coreProperties>
</file>