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Return Profile" sheetId="2" state="visible" r:id="rId4"/>
    <sheet name="IS" sheetId="3" state="visible" r:id="rId5"/>
    <sheet name="BS" sheetId="4" state="visible" r:id="rId6"/>
    <sheet name="CFS" sheetId="5" state="visible" r:id="rId7"/>
    <sheet name="FFO_AFFO" sheetId="6" state="visible" r:id="rId8"/>
    <sheet name="CFS-FCF" sheetId="7" state="visible" r:id="rId9"/>
    <sheet name="Capex Detail" sheetId="8" state="visible" r:id="rId10"/>
    <sheet name="IP Rollforward" sheetId="9" state="visible" r:id="rId11"/>
    <sheet name="Debt Maturity" sheetId="10" state="visible" r:id="rId12"/>
    <sheet name="Sources &amp; Uses" sheetId="11" state="visible" r:id="rId13"/>
    <sheet name="ROIC" sheetId="12" state="visible" r:id="rId14"/>
    <sheet name="Amplification" sheetId="13" state="visible" r:id="rId15"/>
    <sheet name="Value Leakage" sheetId="14" state="visible" r:id="rId16"/>
    <sheet name="Scenario Builder" sheetId="15" state="visible" r:id="rId17"/>
    <sheet name="Private Buyer Math" sheetId="16" state="visible" r:id="rId18"/>
    <sheet name="Ops" sheetId="17" state="visible" r:id="rId19"/>
    <sheet name="Capital Allocation" sheetId="18" state="visible" r:id="rId2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<sst xmlns="http://schemas.openxmlformats.org/spreadsheetml/2006/main" count="1021" uniqueCount="768">
  <si>
    <t xml:space="preserve">Canadian Apartment Properties REIT</t>
  </si>
  <si>
    <t xml:space="preserve">5-Year Proforma Assumptions</t>
  </si>
  <si>
    <t xml:space="preserve">Toggle yellow cells to change projections | All formulas throughout model link here</t>
  </si>
  <si>
    <t xml:space="preserve">FY2026E</t>
  </si>
  <si>
    <t xml:space="preserve">FY2027E</t>
  </si>
  <si>
    <t xml:space="preserve">FY2028E</t>
  </si>
  <si>
    <t xml:space="preserve">FY2029E</t>
  </si>
  <si>
    <t xml:space="preserve">FY2030E</t>
  </si>
  <si>
    <t xml:space="preserve">SAME-STORE REVENUE ASSUMPTIONS</t>
  </si>
  <si>
    <t xml:space="preserve">SS Revenue Growth (%)</t>
  </si>
  <si>
    <t xml:space="preserve">DERIVED: turnover × MTM + (1−turnover) × renewal</t>
  </si>
  <si>
    <t xml:space="preserve">  Turnover Rate (%)</t>
  </si>
  <si>
    <t xml:space="preserve">FY2025 actual: ~18.4%</t>
  </si>
  <si>
    <t xml:space="preserve">  Mark-to-Market Spread (%)</t>
  </si>
  <si>
    <t xml:space="preserve">New lease vs expiring; FY2025 blended ~3.4%</t>
  </si>
  <si>
    <t xml:space="preserve">  Renewal Growth (%)</t>
  </si>
  <si>
    <t xml:space="preserve">Typically 2-3% (rent control provinces)</t>
  </si>
  <si>
    <t xml:space="preserve">  Implied SS Rev Growth (validation)</t>
  </si>
  <si>
    <t xml:space="preserve">Turnover × MTM + (1−turnover) × renewal</t>
  </si>
  <si>
    <t xml:space="preserve">Occupancy (%)</t>
  </si>
  <si>
    <t xml:space="preserve">FY2025: 97.1%</t>
  </si>
  <si>
    <t xml:space="preserve">Avg Monthly Rent — Canadian ($)</t>
  </si>
  <si>
    <t xml:space="preserve">FY2025: $1,718</t>
  </si>
  <si>
    <t xml:space="preserve">SAME-STORE EXPENSE ASSUMPTIONS</t>
  </si>
  <si>
    <t xml:space="preserve">Realty Tax Growth (%)</t>
  </si>
  <si>
    <t xml:space="preserve">FY2025 same-prop: +5.7%</t>
  </si>
  <si>
    <t xml:space="preserve">Utility Growth (%)</t>
  </si>
  <si>
    <t xml:space="preserve">FY2025 same-prop: +5.2%</t>
  </si>
  <si>
    <t xml:space="preserve">Other OpEx Growth (%)</t>
  </si>
  <si>
    <t xml:space="preserve">FY2025 same-prop: -0.2%</t>
  </si>
  <si>
    <t xml:space="preserve">Blended SS OpEx Growth (%)</t>
  </si>
  <si>
    <t xml:space="preserve">Weighted from above</t>
  </si>
  <si>
    <t xml:space="preserve">NETHERLANDS / ERES WIND-DOWN (65% consolidated, 35% NCI)</t>
  </si>
  <si>
    <t xml:space="preserve">Netherlands NOI ($000s)</t>
  </si>
  <si>
    <t xml:space="preserve">FY2025: $43,304K — declining to zero</t>
  </si>
  <si>
    <t xml:space="preserve">Netherlands Revenue ($000s)</t>
  </si>
  <si>
    <t xml:space="preserve">FY2025: $60,142K</t>
  </si>
  <si>
    <t xml:space="preserve">ERES NCI Liability ($000s)</t>
  </si>
  <si>
    <t xml:space="preserve">FY2025: $84,567K — declining as units sold</t>
  </si>
  <si>
    <t xml:space="preserve">ERES NCI Interest/Special ($000s)</t>
  </si>
  <si>
    <t xml:space="preserve">FY2025: $128,087K</t>
  </si>
  <si>
    <t xml:space="preserve">ACQUISITIONS &amp; DISPOSITIONS</t>
  </si>
  <si>
    <t xml:space="preserve">Acquisition Volume ($000s)</t>
  </si>
  <si>
    <t xml:space="preserve">FY2025: $95,424K (net of deposits)</t>
  </si>
  <si>
    <t xml:space="preserve">Acquisition Cap Rate (%)</t>
  </si>
  <si>
    <t xml:space="preserve">Going-in NOI yield on cost</t>
  </si>
  <si>
    <t xml:space="preserve">Acquisition NOI Contribution ($000s)</t>
  </si>
  <si>
    <t xml:space="preserve">Vol × cap rate × 50% partial year</t>
  </si>
  <si>
    <t xml:space="preserve">Prior Year Acq Full-Year NOI ($000s)</t>
  </si>
  <si>
    <t xml:space="preserve">Second-year catch-up</t>
  </si>
  <si>
    <t xml:space="preserve">Disposition Volume ($000s)</t>
  </si>
  <si>
    <t xml:space="preserve">FY2025: $1.1B gross. ERES wind-down continues</t>
  </si>
  <si>
    <t xml:space="preserve">Disposition Cap Rate (%)</t>
  </si>
  <si>
    <t xml:space="preserve">Blended cap on sold assets</t>
  </si>
  <si>
    <t xml:space="preserve">Disposition NOI Lost ($000s)</t>
  </si>
  <si>
    <t xml:space="preserve">Vol × cap rate × 50% mid-year</t>
  </si>
  <si>
    <t xml:space="preserve">Cumul. Prior-Year Dispo NOI Lost ($000s)</t>
  </si>
  <si>
    <t xml:space="preserve">Full-year from all prior dispos</t>
  </si>
  <si>
    <t xml:space="preserve">Dispo Net Proceeds % of Gross</t>
  </si>
  <si>
    <t xml:space="preserve">FY2025: ~92% (less encumbered)</t>
  </si>
  <si>
    <t xml:space="preserve">G&amp;A AND OTHER INCOME</t>
  </si>
  <si>
    <t xml:space="preserve">G&amp;A as % of Total Revenue</t>
  </si>
  <si>
    <t xml:space="preserve">FY2025: 5.5% ($54,989 / $1,003,364)</t>
  </si>
  <si>
    <t xml:space="preserve">Other Income ($000s)</t>
  </si>
  <si>
    <t xml:space="preserve">FY2025: $13,902K</t>
  </si>
  <si>
    <t xml:space="preserve">Transaction/Restructuring ($000s)</t>
  </si>
  <si>
    <t xml:space="preserve">FY2025: $42,588K + $9,601K reorg</t>
  </si>
  <si>
    <t xml:space="preserve">DEBT &amp; INTEREST ASSUMPTIONS</t>
  </si>
  <si>
    <t xml:space="preserve">Mortgage Principal — BoY ($000s)</t>
  </si>
  <si>
    <t xml:space="preserve">FY2025 EoY: $5,633,601K</t>
  </si>
  <si>
    <t xml:space="preserve">Maturing Principal ($000s)</t>
  </si>
  <si>
    <t xml:space="preserve">From Debt Maturity schedule</t>
  </si>
  <si>
    <t xml:space="preserve">Expiring WA Rate on Maturities (%)</t>
  </si>
  <si>
    <t xml:space="preserve">Rate on maturing mortgages</t>
  </si>
  <si>
    <t xml:space="preserve">Refinancing Rate (%)</t>
  </si>
  <si>
    <t xml:space="preserve">Market rate at renewal</t>
  </si>
  <si>
    <t xml:space="preserve">Scheduled Amortization ($000s)</t>
  </si>
  <si>
    <t xml:space="preserve">FY2025: $148,180K</t>
  </si>
  <si>
    <t xml:space="preserve">Net New Mortgage Draws ($000s)</t>
  </si>
  <si>
    <t xml:space="preserve">Acq Vol × LTV</t>
  </si>
  <si>
    <t xml:space="preserve">Interest Savings from Maturities ($000s)</t>
  </si>
  <si>
    <t xml:space="preserve">Maturing × (old rate − new rate)</t>
  </si>
  <si>
    <t xml:space="preserve">Implied WA Mortgage Rate (%)</t>
  </si>
  <si>
    <t xml:space="preserve">Blended rate on total book</t>
  </si>
  <si>
    <t xml:space="preserve">Mortgage Interest Expense ($000s)</t>
  </si>
  <si>
    <t xml:space="preserve">Avg principal × WA rate</t>
  </si>
  <si>
    <t xml:space="preserve">Mortgage Principal — EoY ($000s)</t>
  </si>
  <si>
    <t xml:space="preserve">BoY − amort + new draws</t>
  </si>
  <si>
    <t xml:space="preserve">Credit Facility Balance ($000s)</t>
  </si>
  <si>
    <t xml:space="preserve">Formula-driven from Cash Surplus Waterfall</t>
  </si>
  <si>
    <t xml:space="preserve">CF Interest Rate (%)</t>
  </si>
  <si>
    <t xml:space="preserve">Prime + spread</t>
  </si>
  <si>
    <t xml:space="preserve">CF Interest Expense ($000s)</t>
  </si>
  <si>
    <t xml:space="preserve">BoY CF balance × rate</t>
  </si>
  <si>
    <t xml:space="preserve">Exchangeable LP Unit Interest ($000s)</t>
  </si>
  <si>
    <t xml:space="preserve">FY2025: $2,233K</t>
  </si>
  <si>
    <t xml:space="preserve">CAPITAL EXPENDITURE ASSUMPTIONS</t>
  </si>
  <si>
    <t xml:space="preserve">Canadian Residential Suites (approx)</t>
  </si>
  <si>
    <t xml:space="preserve">FY2025: 44,876</t>
  </si>
  <si>
    <t xml:space="preserve">Building Improvements ($/suite)</t>
  </si>
  <si>
    <t xml:space="preserve">FY2025: ~$1,314/suite ($58,974K)</t>
  </si>
  <si>
    <t xml:space="preserve">Building Improvements ($000s)</t>
  </si>
  <si>
    <t xml:space="preserve">Suites × $/suite</t>
  </si>
  <si>
    <t xml:space="preserve">Suite Improvements ($000s)</t>
  </si>
  <si>
    <t xml:space="preserve">FY2025: $80,033K</t>
  </si>
  <si>
    <t xml:space="preserve">Common Area ($000s)</t>
  </si>
  <si>
    <t xml:space="preserve">FY2025: $29,076K</t>
  </si>
  <si>
    <t xml:space="preserve">Energy &amp; Resiliency ($000s)</t>
  </si>
  <si>
    <t xml:space="preserve">FY2025: $32,896K</t>
  </si>
  <si>
    <t xml:space="preserve">Equipment ($000s)</t>
  </si>
  <si>
    <t xml:space="preserve">FY2025: $10,715K</t>
  </si>
  <si>
    <t xml:space="preserve">Total Existing Portfolio Capex ($000s)</t>
  </si>
  <si>
    <t xml:space="preserve">Non-Discretionary Capex ($000s)</t>
  </si>
  <si>
    <t xml:space="preserve">Building improvements + life/safety</t>
  </si>
  <si>
    <t xml:space="preserve">Capex per Suite ($)</t>
  </si>
  <si>
    <t xml:space="preserve">Total / suites</t>
  </si>
  <si>
    <t xml:space="preserve">UNIT COUNT &amp; DISTRIBUTIONS</t>
  </si>
  <si>
    <t xml:space="preserve">Units BoY (000s)</t>
  </si>
  <si>
    <t xml:space="preserve">FY2025 EoY: ~157,694</t>
  </si>
  <si>
    <t xml:space="preserve">Distribution per Unit ($)</t>
  </si>
  <si>
    <t xml:space="preserve">FY2025: $1.546</t>
  </si>
  <si>
    <t xml:space="preserve">DRIP Participation Rate (%)</t>
  </si>
  <si>
    <t xml:space="preserve">FY2025: ~minimal</t>
  </si>
  <si>
    <t xml:space="preserve">NCIB Repurchases (000s)</t>
  </si>
  <si>
    <t xml:space="preserve">Formula from cash surplus waterfall</t>
  </si>
  <si>
    <t xml:space="preserve">Buyback Price per Unit ($)</t>
  </si>
  <si>
    <t xml:space="preserve">Current market ~$48</t>
  </si>
  <si>
    <t xml:space="preserve">% of Surplus Cash → Buybacks</t>
  </si>
  <si>
    <t xml:space="preserve">0%=all to CF paydown, 100%=max buyback</t>
  </si>
  <si>
    <t xml:space="preserve">Units EoY (000s)</t>
  </si>
  <si>
    <t xml:space="preserve">BoY + DRIP − NCIB</t>
  </si>
  <si>
    <t xml:space="preserve">WA Diluted Units (000s)</t>
  </si>
  <si>
    <t xml:space="preserve">(BoY + EoY) / 2</t>
  </si>
  <si>
    <t xml:space="preserve">VALUATION ASSUMPTIONS</t>
  </si>
  <si>
    <t xml:space="preserve">Canadian Residential Cap Rate (%)</t>
  </si>
  <si>
    <t xml:space="preserve">For NAV calculation</t>
  </si>
  <si>
    <t xml:space="preserve">Market Price per Unit ($)</t>
  </si>
  <si>
    <t xml:space="preserve">Current: ~$48</t>
  </si>
  <si>
    <t xml:space="preserve">CASH SURPLUS WATERFALL ($000s)</t>
  </si>
  <si>
    <t xml:space="preserve">Uses BoY units for distributions — no circular reference</t>
  </si>
  <si>
    <t xml:space="preserve">Cash from Operating Activities</t>
  </si>
  <si>
    <t xml:space="preserve">CFO (pre-interest per CAPREIT classification)</t>
  </si>
  <si>
    <t xml:space="preserve">Less: Interest Paid (mortgage + CF)</t>
  </si>
  <si>
    <t xml:space="preserve">Cash basis</t>
  </si>
  <si>
    <t xml:space="preserve">Less: ERES NCI Interest/Special</t>
  </si>
  <si>
    <t xml:space="preserve">Plus: Dispo Net Proceeds</t>
  </si>
  <si>
    <t xml:space="preserve">Less: Acquisitions (net of mortgage financing)</t>
  </si>
  <si>
    <t xml:space="preserve">Less: Existing Portfolio Capex</t>
  </si>
  <si>
    <t xml:space="preserve">Less: Mortgage Amortization</t>
  </si>
  <si>
    <t xml:space="preserve">Less: Cash Distributions (BoY units × dist/u)</t>
  </si>
  <si>
    <t xml:space="preserve">Uses BoY units to avoid circularity</t>
  </si>
  <si>
    <t xml:space="preserve">Less: Financing Costs &amp; CMHC</t>
  </si>
  <si>
    <t xml:space="preserve">FY2025: $4,106K</t>
  </si>
  <si>
    <t xml:space="preserve">Cash Surplus / (Deficit) Before Buybacks</t>
  </si>
  <si>
    <t xml:space="preserve">Buyback Allocation ($000s)</t>
  </si>
  <si>
    <t xml:space="preserve">Only from surplus — no buybacks when in deficit</t>
  </si>
  <si>
    <t xml:space="preserve">Buyback Units (000s)</t>
  </si>
  <si>
    <t xml:space="preserve">CF Draw / (Paydown) ($000s)</t>
  </si>
  <si>
    <t xml:space="preserve">Positive = draw, negative = paydown</t>
  </si>
  <si>
    <t xml:space="preserve">Credit Facility Balance EoY ($000s)</t>
  </si>
  <si>
    <t xml:space="preserve">Prior + draw</t>
  </si>
  <si>
    <t xml:space="preserve">5-Year Return Profile &amp; IRR Analysis</t>
  </si>
  <si>
    <t xml:space="preserve">Toggle yellow cells | Green = cross-sheet link | All per-unit metrics use projected diluted units</t>
  </si>
  <si>
    <t xml:space="preserve">Entry
FY2025A</t>
  </si>
  <si>
    <t xml:space="preserve">Exit /
Terminal</t>
  </si>
  <si>
    <t xml:space="preserve">ENTRY ASSUMPTIONS</t>
  </si>
  <si>
    <t xml:space="preserve">Entry Price per Unit ($)</t>
  </si>
  <si>
    <t xml:space="preserve">Toggle to model different entry points</t>
  </si>
  <si>
    <t xml:space="preserve">Units Outstanding (000s)</t>
  </si>
  <si>
    <t xml:space="preserve">Entry Market Cap ($000s)</t>
  </si>
  <si>
    <t xml:space="preserve">SECTION 1: NET ASSET VALUE BUILD-UP</t>
  </si>
  <si>
    <t xml:space="preserve">Segment NAV using toggleable cap rates applied to projected NOI</t>
  </si>
  <si>
    <t xml:space="preserve">Valuation Cap Rate — Canadian Residential (%)</t>
  </si>
  <si>
    <t xml:space="preserve">Total NOI ($000s)</t>
  </si>
  <si>
    <t xml:space="preserve">Gross Asset Value ($000s)</t>
  </si>
  <si>
    <t xml:space="preserve">NOI ÷ cap rate</t>
  </si>
  <si>
    <t xml:space="preserve">NAV Bridge — Other Net Assets ($000s)</t>
  </si>
  <si>
    <t xml:space="preserve">NAV Bridge — Total Liabilities ($000s)</t>
  </si>
  <si>
    <t xml:space="preserve">Net Asset Value ($000s)</t>
  </si>
  <si>
    <t xml:space="preserve">NAV per Unit ($)</t>
  </si>
  <si>
    <t xml:space="preserve">Discount to NAV (%)</t>
  </si>
  <si>
    <t xml:space="preserve">NOI Growth</t>
  </si>
  <si>
    <t xml:space="preserve">NAV CAGR (from entry)</t>
  </si>
  <si>
    <t xml:space="preserve">SECTION 2: CASH FLOW BUILD — PER UNIT ($)</t>
  </si>
  <si>
    <t xml:space="preserve">Shows actual cash generation and distribution funding</t>
  </si>
  <si>
    <t xml:space="preserve">FFO per Unit</t>
  </si>
  <si>
    <t xml:space="preserve">Less: Non-Discretionary Capex per Unit</t>
  </si>
  <si>
    <t xml:space="preserve">RF-AFFO per Unit</t>
  </si>
  <si>
    <t xml:space="preserve">CFS-FCF per Unit</t>
  </si>
  <si>
    <t xml:space="preserve">Distributions per Unit ($)</t>
  </si>
  <si>
    <t xml:space="preserve">RF-AFFO Payout Ratio (%)</t>
  </si>
  <si>
    <t xml:space="preserve">CFS-FCF Payout Ratio (%)</t>
  </si>
  <si>
    <t xml:space="preserve">AFFO Surplus/(Shortfall) per Unit</t>
  </si>
  <si>
    <t xml:space="preserve">CFS-FCF Surplus/(Shortfall) per Unit</t>
  </si>
  <si>
    <t xml:space="preserve">SECTION 3: TOTAL RETURN &amp; IRR</t>
  </si>
  <si>
    <t xml:space="preserve">Exit Assumptions — Toggle</t>
  </si>
  <si>
    <t xml:space="preserve">  Exit Cap Rate (%)</t>
  </si>
  <si>
    <t xml:space="preserve">  Exit Method</t>
  </si>
  <si>
    <t xml:space="preserve">NAV</t>
  </si>
  <si>
    <t xml:space="preserve">Exit NAV per Unit ($)</t>
  </si>
  <si>
    <t xml:space="preserve">Terminal NOI ÷ exit cap → NAV ÷ units</t>
  </si>
  <si>
    <t xml:space="preserve">INVESTOR CASH FLOW TIMELINE</t>
  </si>
  <si>
    <t xml:space="preserve">  Year</t>
  </si>
  <si>
    <t xml:space="preserve">  Entry Cost per Unit ($)</t>
  </si>
  <si>
    <t xml:space="preserve">  Annual Distributions ($)</t>
  </si>
  <si>
    <t xml:space="preserve">  Exit Proceeds ($)</t>
  </si>
  <si>
    <t xml:space="preserve">  Total Cash Flow per Unit ($)</t>
  </si>
  <si>
    <t xml:space="preserve">IRR (Internal Rate of Return)</t>
  </si>
  <si>
    <t xml:space="preserve">RETURN SUMMARY</t>
  </si>
  <si>
    <t xml:space="preserve">Entry Price per Unit</t>
  </si>
  <si>
    <t xml:space="preserve">Exit Value per Unit</t>
  </si>
  <si>
    <t xml:space="preserve">Capital Gain per Unit</t>
  </si>
  <si>
    <t xml:space="preserve">Capital Gain (%)</t>
  </si>
  <si>
    <t xml:space="preserve">Cumulative Distributions per Unit</t>
  </si>
  <si>
    <t xml:space="preserve">Distribution Yield (on entry)</t>
  </si>
  <si>
    <t xml:space="preserve">Total Return (%)</t>
  </si>
  <si>
    <t xml:space="preserve">5-Year IRR</t>
  </si>
  <si>
    <t xml:space="preserve">SECTION 4: IRR SENSITIVITY — EXIT CAP vs ENTRY PRICE</t>
  </si>
  <si>
    <t xml:space="preserve">IRR at Entry Price →</t>
  </si>
  <si>
    <t xml:space="preserve">5.00%</t>
  </si>
  <si>
    <t xml:space="preserve">4.75%</t>
  </si>
  <si>
    <t xml:space="preserve">4.50%</t>
  </si>
  <si>
    <t xml:space="preserve">4.25%</t>
  </si>
  <si>
    <t xml:space="preserve">4.00%</t>
  </si>
  <si>
    <t xml:space="preserve">3.75%</t>
  </si>
  <si>
    <t xml:space="preserve">SECTION 5: PROJECTED KEY METRICS</t>
  </si>
  <si>
    <t xml:space="preserve">ND/EBITDA</t>
  </si>
  <si>
    <t xml:space="preserve">Interest Coverage (EBITDA / Interest)</t>
  </si>
  <si>
    <t xml:space="preserve">Debt-to-GAV</t>
  </si>
  <si>
    <t xml:space="preserve">NAV per Unit</t>
  </si>
  <si>
    <t xml:space="preserve">Implied Cap Rate at Market</t>
  </si>
  <si>
    <t xml:space="preserve">Consolidated Statement of Income</t>
  </si>
  <si>
    <t xml:space="preserve">CAD $000s | Blue=hardcoded | Black=formula | All 11 years NI-verified</t>
  </si>
  <si>
    <t xml:space="preserve">FY2015</t>
  </si>
  <si>
    <t xml:space="preserve">FY2016</t>
  </si>
  <si>
    <t xml:space="preserve">FY2017</t>
  </si>
  <si>
    <t xml:space="preserve">FY2018</t>
  </si>
  <si>
    <t xml:space="preserve">FY2019</t>
  </si>
  <si>
    <t xml:space="preserve">FY2020</t>
  </si>
  <si>
    <t xml:space="preserve">FY2021</t>
  </si>
  <si>
    <t xml:space="preserve">FY2022</t>
  </si>
  <si>
    <t xml:space="preserve">FY2023</t>
  </si>
  <si>
    <t xml:space="preserve">FY2024</t>
  </si>
  <si>
    <t xml:space="preserve">FY2025</t>
  </si>
  <si>
    <t xml:space="preserve">Revenue</t>
  </si>
  <si>
    <t xml:space="preserve">Revenue from Investment Properties</t>
  </si>
  <si>
    <t xml:space="preserve">Property Operating Expenses</t>
  </si>
  <si>
    <t xml:space="preserve">Net Operating Income</t>
  </si>
  <si>
    <t xml:space="preserve">Below-NOI Items</t>
  </si>
  <si>
    <t xml:space="preserve">Other Income</t>
  </si>
  <si>
    <t xml:space="preserve">Trust Expenses (G&amp;A)</t>
  </si>
  <si>
    <t xml:space="preserve">Unit-Based Compensation</t>
  </si>
  <si>
    <t xml:space="preserve">Interest and Other Financing Costs</t>
  </si>
  <si>
    <t xml:space="preserve">Depreciation &amp; Amortization</t>
  </si>
  <si>
    <t xml:space="preserve">Fair Value Adj — Investment Properties</t>
  </si>
  <si>
    <t xml:space="preserve">Fair Value Adj — Exchangeable Units</t>
  </si>
  <si>
    <t xml:space="preserve">Fair Value Adj — Investments (FVTPL)</t>
  </si>
  <si>
    <t xml:space="preserve">Gain/(Loss) on Derivative FI</t>
  </si>
  <si>
    <t xml:space="preserve">Loss on Dispositions</t>
  </si>
  <si>
    <t xml:space="preserve">Gain/(Loss) on NCI (ERES)</t>
  </si>
  <si>
    <t xml:space="preserve">Transaction Costs &amp; Other Activities</t>
  </si>
  <si>
    <t xml:space="preserve">Foreign Currency Translation</t>
  </si>
  <si>
    <t xml:space="preserve">Goodwill Impairment</t>
  </si>
  <si>
    <t xml:space="preserve">Gain/(Loss) on Derecognition of Debt</t>
  </si>
  <si>
    <t xml:space="preserve">Other / Reconciling (AOCL, severance)</t>
  </si>
  <si>
    <t xml:space="preserve">Current Income Tax</t>
  </si>
  <si>
    <t xml:space="preserve">Deferred Income Tax</t>
  </si>
  <si>
    <t xml:space="preserve">Net Income</t>
  </si>
  <si>
    <t xml:space="preserve">NI Check (sum of all lines)</t>
  </si>
  <si>
    <t xml:space="preserve">Balance (should be 0)</t>
  </si>
  <si>
    <t xml:space="preserve">Key Metrics</t>
  </si>
  <si>
    <t xml:space="preserve">NOI Margin</t>
  </si>
  <si>
    <t xml:space="preserve">Revenue Growth (YoY)</t>
  </si>
  <si>
    <t xml:space="preserve">NOI Growth (YoY)</t>
  </si>
  <si>
    <t xml:space="preserve">G&amp;A as % of Revenue</t>
  </si>
  <si>
    <t xml:space="preserve">Consolidated Balance Sheet</t>
  </si>
  <si>
    <t xml:space="preserve">As at December 31 | CAD $000s | Full line-item detail from Notes</t>
  </si>
  <si>
    <t xml:space="preserve">Non-Current Assets</t>
  </si>
  <si>
    <t xml:space="preserve">Investment Properties (Fair Value)</t>
  </si>
  <si>
    <t xml:space="preserve">  Investment in Associate (IRES)</t>
  </si>
  <si>
    <t xml:space="preserve">  Investments at FVTPL</t>
  </si>
  <si>
    <t xml:space="preserve">  VTB Mortgages Receivable</t>
  </si>
  <si>
    <t xml:space="preserve">  Prepaid CMHC Premiums, net</t>
  </si>
  <si>
    <t xml:space="preserve">  Goodwill (ERES)</t>
  </si>
  <si>
    <t xml:space="preserve">  Property, Plant &amp; Equipment</t>
  </si>
  <si>
    <t xml:space="preserve">  Derivative Assets (Non-Current)</t>
  </si>
  <si>
    <t xml:space="preserve">  Right-of-Use Asset</t>
  </si>
  <si>
    <t xml:space="preserve">  Deferred Income Tax Asset</t>
  </si>
  <si>
    <t xml:space="preserve">  Deferred Loan Costs, net</t>
  </si>
  <si>
    <t xml:space="preserve">Total Non-Current Assets</t>
  </si>
  <si>
    <t xml:space="preserve">Current Assets</t>
  </si>
  <si>
    <t xml:space="preserve">Cash and Cash Equivalents</t>
  </si>
  <si>
    <t xml:space="preserve">Amounts Receivable</t>
  </si>
  <si>
    <t xml:space="preserve">Prepaid Expenses &amp; Other Current Assets</t>
  </si>
  <si>
    <t xml:space="preserve">Restricted Cash / Funds</t>
  </si>
  <si>
    <t xml:space="preserve">Deposits</t>
  </si>
  <si>
    <t xml:space="preserve">Derivative Assets (Current)</t>
  </si>
  <si>
    <t xml:space="preserve">Assets Held for Sale</t>
  </si>
  <si>
    <t xml:space="preserve">Total Current Assets</t>
  </si>
  <si>
    <t xml:space="preserve">TOTAL ASSETS</t>
  </si>
  <si>
    <t xml:space="preserve">Equity</t>
  </si>
  <si>
    <t xml:space="preserve">Unit Capital</t>
  </si>
  <si>
    <t xml:space="preserve">Retained Earnings</t>
  </si>
  <si>
    <t xml:space="preserve">Accumulated Other Comprehensive Income (Loss)</t>
  </si>
  <si>
    <t xml:space="preserve">Total Unitholders' Equity</t>
  </si>
  <si>
    <t xml:space="preserve">Non-Current Liabilities</t>
  </si>
  <si>
    <t xml:space="preserve">Mortgages Payable (Non-Current)</t>
  </si>
  <si>
    <t xml:space="preserve">Credit Facilities Payable</t>
  </si>
  <si>
    <t xml:space="preserve">ERES Units — NCI (Financial Liability)</t>
  </si>
  <si>
    <t xml:space="preserve">Exchangeable LP Units</t>
  </si>
  <si>
    <t xml:space="preserve">Deferred Income Tax Liability</t>
  </si>
  <si>
    <t xml:space="preserve">Lease Liabilities</t>
  </si>
  <si>
    <t xml:space="preserve">Unit-Based Comp Liabilities (NC)</t>
  </si>
  <si>
    <t xml:space="preserve">Other Non-Current Liabilities</t>
  </si>
  <si>
    <t xml:space="preserve">Total Non-Current Liabilities</t>
  </si>
  <si>
    <t xml:space="preserve">Current Liabilities</t>
  </si>
  <si>
    <t xml:space="preserve">Mortgages Payable (Current)</t>
  </si>
  <si>
    <t xml:space="preserve">Accounts Payable &amp; Accrued Liabilities</t>
  </si>
  <si>
    <t xml:space="preserve">Security Deposits</t>
  </si>
  <si>
    <t xml:space="preserve">Distributions Payable</t>
  </si>
  <si>
    <t xml:space="preserve">Unit-Based Comp Liabilities (Current)</t>
  </si>
  <si>
    <t xml:space="preserve">Mortgage Interest Payable</t>
  </si>
  <si>
    <t xml:space="preserve">Derivative Liabilities (Current)</t>
  </si>
  <si>
    <t xml:space="preserve">Current Tax Liability</t>
  </si>
  <si>
    <t xml:space="preserve">Liabilities — Held for Sale</t>
  </si>
  <si>
    <t xml:space="preserve">Other Current Liabilities</t>
  </si>
  <si>
    <t xml:space="preserve">Total Current Liabilities</t>
  </si>
  <si>
    <t xml:space="preserve">TOTAL LIABILITIES</t>
  </si>
  <si>
    <t xml:space="preserve">TOTAL EQUITY &amp; LIABILITIES</t>
  </si>
  <si>
    <t xml:space="preserve">Balance Check (Assets − E&amp;L)</t>
  </si>
  <si>
    <t xml:space="preserve">Key Balance Sheet Metrics</t>
  </si>
  <si>
    <t xml:space="preserve">Total Interest-Bearing Debt</t>
  </si>
  <si>
    <t xml:space="preserve">Net Debt (IBD − Cash)</t>
  </si>
  <si>
    <t xml:space="preserve">Debt-to-GBV</t>
  </si>
  <si>
    <t xml:space="preserve">IFRS NAV per Unit</t>
  </si>
  <si>
    <t xml:space="preserve">Total Units Outstanding (000s)</t>
  </si>
  <si>
    <t xml:space="preserve">Net Debt / EBITDA</t>
  </si>
  <si>
    <t xml:space="preserve">European Assets as % of Total</t>
  </si>
  <si>
    <t xml:space="preserve">VTB Receivables as % of Total Assets</t>
  </si>
  <si>
    <t xml:space="preserve">Consolidated Statement of Cash Flows</t>
  </si>
  <si>
    <t xml:space="preserve">FY Basis | CAD $000s | NOTE: CAPREIT classifies interest paid as FINANCING activity</t>
  </si>
  <si>
    <t xml:space="preserve">Operating Activities</t>
  </si>
  <si>
    <t xml:space="preserve">  (Note: CFO is PRE-INTEREST — interest classified as financing)</t>
  </si>
  <si>
    <t xml:space="preserve">Investing Activities</t>
  </si>
  <si>
    <t xml:space="preserve">Acquisitions of Investment Properties</t>
  </si>
  <si>
    <t xml:space="preserve">Capital Investments (Existing Portfolio)</t>
  </si>
  <si>
    <t xml:space="preserve">Acquisition of Investments</t>
  </si>
  <si>
    <t xml:space="preserve">Disposition of Investment Properties</t>
  </si>
  <si>
    <t xml:space="preserve">Disposition of Investments</t>
  </si>
  <si>
    <t xml:space="preserve">Investment &amp; Interest Income Received</t>
  </si>
  <si>
    <t xml:space="preserve">Other Investing</t>
  </si>
  <si>
    <t xml:space="preserve">Financing Activities</t>
  </si>
  <si>
    <t xml:space="preserve">Mortgage Financings (New)</t>
  </si>
  <si>
    <t xml:space="preserve">Mortgage Principal Repayments (Sched.)</t>
  </si>
  <si>
    <t xml:space="preserve">Mortgages Repaid on Maturity</t>
  </si>
  <si>
    <t xml:space="preserve">Financing Costs on Mortgages</t>
  </si>
  <si>
    <t xml:space="preserve">CMHC Premiums</t>
  </si>
  <si>
    <t xml:space="preserve">Interest Paid (Mortgages &amp; Credit Fac.)</t>
  </si>
  <si>
    <t xml:space="preserve">Bank Indebtedness / Credit Fac., Net</t>
  </si>
  <si>
    <t xml:space="preserve">Proceeds on Issuance of Units</t>
  </si>
  <si>
    <t xml:space="preserve">ERES Unit Proceeds</t>
  </si>
  <si>
    <t xml:space="preserve">Net Cash Distributions</t>
  </si>
  <si>
    <t xml:space="preserve">Interest to ERES NCI (incl. special)</t>
  </si>
  <si>
    <t xml:space="preserve">Supplemental Disclosures</t>
  </si>
  <si>
    <t xml:space="preserve">Interest Paid (Cash Basis)</t>
  </si>
  <si>
    <t xml:space="preserve">FFO / NFFO / ACFO Reconciliation</t>
  </si>
  <si>
    <t xml:space="preserve">CAD $000s except per unit | CAPREIT uses NFFO and ACFO (not traditional AFFO)</t>
  </si>
  <si>
    <t xml:space="preserve">FFO Reconciliation</t>
  </si>
  <si>
    <t xml:space="preserve">+ FV Adj — Investment Properties</t>
  </si>
  <si>
    <t xml:space="preserve">+ FV Adj — Exchangeable Units</t>
  </si>
  <si>
    <t xml:space="preserve">+ Loss on Dispositions</t>
  </si>
  <si>
    <t xml:space="preserve">+ Unit-Based Comp (remeasurement)</t>
  </si>
  <si>
    <t xml:space="preserve">+ Depreciation &amp; Amortization</t>
  </si>
  <si>
    <t xml:space="preserve">+ FV Adj — Derivatives/FI</t>
  </si>
  <si>
    <t xml:space="preserve">+ Deferred Tax</t>
  </si>
  <si>
    <t xml:space="preserve">+ Foreign Currency</t>
  </si>
  <si>
    <t xml:space="preserve">+ Gain/Loss on NCI</t>
  </si>
  <si>
    <t xml:space="preserve">+ Transaction Costs</t>
  </si>
  <si>
    <t xml:space="preserve">+ Other Adjustments / ERES NCI deduction</t>
  </si>
  <si>
    <t xml:space="preserve">Funds from Operations (FFO)</t>
  </si>
  <si>
    <t xml:space="preserve">FFO per Unit (Diluted)</t>
  </si>
  <si>
    <t xml:space="preserve">FFO Growth (YoY)</t>
  </si>
  <si>
    <t xml:space="preserve">NFFO (Management Key Metric)</t>
  </si>
  <si>
    <t xml:space="preserve">Normalized FFO (NFFO)</t>
  </si>
  <si>
    <t xml:space="preserve">NFFO per Unit (Diluted)</t>
  </si>
  <si>
    <t xml:space="preserve">ACFO (REALpac Adjusted Cash Flow)</t>
  </si>
  <si>
    <t xml:space="preserve">ACFO</t>
  </si>
  <si>
    <t xml:space="preserve">Distribution Sustainability</t>
  </si>
  <si>
    <t xml:space="preserve">Distribution per Unit (Annual)</t>
  </si>
  <si>
    <t xml:space="preserve">FFO Payout Ratio</t>
  </si>
  <si>
    <t xml:space="preserve">CFS-FCF &amp; Distribution Sustainability</t>
  </si>
  <si>
    <t xml:space="preserve">Central analytical framework | NOTE: CFO is pre-interest — adjust for Killam comparability</t>
  </si>
  <si>
    <t xml:space="preserve">CFS-FCF Derivation (Pre-Interest Basis)</t>
  </si>
  <si>
    <t xml:space="preserve">Cash from Operating Activities (CFS)</t>
  </si>
  <si>
    <t xml:space="preserve">  (NOTE: CAPREIT CFO is PRE-INTEREST)</t>
  </si>
  <si>
    <t xml:space="preserve">Less: Interest Paid (CFS)</t>
  </si>
  <si>
    <t xml:space="preserve">CFO Post-Interest (Killam-comparable)</t>
  </si>
  <si>
    <t xml:space="preserve">Less: CFS Capital Investments</t>
  </si>
  <si>
    <t xml:space="preserve">CFS-FCF ($000s)</t>
  </si>
  <si>
    <t xml:space="preserve">Distribution Funding Gap</t>
  </si>
  <si>
    <t xml:space="preserve">Distribution per Unit</t>
  </si>
  <si>
    <t xml:space="preserve">CFS-FCF Payout Ratio</t>
  </si>
  <si>
    <t xml:space="preserve">Annual Surplus/(Shortfall) per Unit</t>
  </si>
  <si>
    <t xml:space="preserve">RF-AFFO Build (Forensic)</t>
  </si>
  <si>
    <t xml:space="preserve">NOI (from IS)</t>
  </si>
  <si>
    <t xml:space="preserve">Less: G&amp;A</t>
  </si>
  <si>
    <t xml:space="preserve">Less: Cash Interest Paid</t>
  </si>
  <si>
    <t xml:space="preserve">Pre-Capex Cash Earnings</t>
  </si>
  <si>
    <t xml:space="preserve">Less: Non-Discretionary Capex</t>
  </si>
  <si>
    <t xml:space="preserve">RF-AFFO ($000s)</t>
  </si>
  <si>
    <t xml:space="preserve">Capital Expenditure Detail</t>
  </si>
  <si>
    <t xml:space="preserve">CAD $000s | Blue=hardcoded</t>
  </si>
  <si>
    <t xml:space="preserve">Capex Categories (MD&amp;A)</t>
  </si>
  <si>
    <t xml:space="preserve">Building Improvements</t>
  </si>
  <si>
    <t xml:space="preserve">Suite Improvements</t>
  </si>
  <si>
    <t xml:space="preserve">Common Area</t>
  </si>
  <si>
    <t xml:space="preserve">Energy-Saving Initiatives</t>
  </si>
  <si>
    <t xml:space="preserve">Equipment</t>
  </si>
  <si>
    <t xml:space="preserve">Boilers &amp; Elevators</t>
  </si>
  <si>
    <t xml:space="preserve">Appliances</t>
  </si>
  <si>
    <t xml:space="preserve">Capex Summary</t>
  </si>
  <si>
    <t xml:space="preserve">Total Property Capex (MD&amp;A)</t>
  </si>
  <si>
    <t xml:space="preserve">Non-Discretionary (per ACFO)</t>
  </si>
  <si>
    <t xml:space="preserve">CFS Capital Investments (cash basis)</t>
  </si>
  <si>
    <t xml:space="preserve">Capex Truth Waterfall</t>
  </si>
  <si>
    <t xml:space="preserve">CFS Capital Investments</t>
  </si>
  <si>
    <t xml:space="preserve">MD&amp;A Total Property Capex</t>
  </si>
  <si>
    <t xml:space="preserve">Non-Discretionary (ACFO basis)</t>
  </si>
  <si>
    <t xml:space="preserve">Discretionary Capex (residual)</t>
  </si>
  <si>
    <t xml:space="preserve">Non-Disc as % of Total</t>
  </si>
  <si>
    <t xml:space="preserve">Total Capex / NOI (Reinvestment Rate)</t>
  </si>
  <si>
    <t xml:space="preserve">Investment Property Rollforward</t>
  </si>
  <si>
    <t xml:space="preserve">Beginning Balance</t>
  </si>
  <si>
    <t xml:space="preserve">Acquisitions</t>
  </si>
  <si>
    <t xml:space="preserve">Property Capital Investments</t>
  </si>
  <si>
    <t xml:space="preserve">Dispositions</t>
  </si>
  <si>
    <t xml:space="preserve">Fair Value Adjustments</t>
  </si>
  <si>
    <t xml:space="preserve">Other (FX, leasing, transfers)</t>
  </si>
  <si>
    <t xml:space="preserve">Ending Balance</t>
  </si>
  <si>
    <t xml:space="preserve">Debt Maturity Profile</t>
  </si>
  <si>
    <t xml:space="preserve">CAD $000s | From year-end reports</t>
  </si>
  <si>
    <t xml:space="preserve">Mortgage Principal Outstanding</t>
  </si>
  <si>
    <t xml:space="preserve">Total Mortgages Payable</t>
  </si>
  <si>
    <t xml:space="preserve">WA Mortgage Interest Rate</t>
  </si>
  <si>
    <t xml:space="preserve">Key Debt Metrics</t>
  </si>
  <si>
    <t xml:space="preserve">Scheduled Amortization (CFS)</t>
  </si>
  <si>
    <t xml:space="preserve">Maturities Repaid (CFS)</t>
  </si>
  <si>
    <t xml:space="preserve">New Mortgage Financing (CFS)</t>
  </si>
  <si>
    <t xml:space="preserve">% Fixed Rate</t>
  </si>
  <si>
    <t xml:space="preserve">WA Years to Maturity</t>
  </si>
  <si>
    <t xml:space="preserve">Consolidated Sources &amp; Uses of Capital</t>
  </si>
  <si>
    <t xml:space="preserve">CAD $000s | Linked to CFS tab</t>
  </si>
  <si>
    <t xml:space="preserve">SOURCES</t>
  </si>
  <si>
    <t xml:space="preserve">Net Mortgage Financing</t>
  </si>
  <si>
    <t xml:space="preserve">Bank / Credit Facility, Net</t>
  </si>
  <si>
    <t xml:space="preserve">Equity Issuance</t>
  </si>
  <si>
    <t xml:space="preserve">Disposition Proceeds</t>
  </si>
  <si>
    <t xml:space="preserve">Total Sources</t>
  </si>
  <si>
    <t xml:space="preserve">USES</t>
  </si>
  <si>
    <t xml:space="preserve">Capital Investments (Existing)</t>
  </si>
  <si>
    <t xml:space="preserve">Scheduled Mortgage Amortization</t>
  </si>
  <si>
    <t xml:space="preserve">Interest Paid</t>
  </si>
  <si>
    <t xml:space="preserve">Financing Costs &amp; CMHC</t>
  </si>
  <si>
    <t xml:space="preserve">ERES NCI Interest</t>
  </si>
  <si>
    <t xml:space="preserve">Total Uses</t>
  </si>
  <si>
    <t xml:space="preserve">Return on Invested Capital Analysis</t>
  </si>
  <si>
    <t xml:space="preserve">Actual IC strips cumulative IFRS FV gains from equity</t>
  </si>
  <si>
    <t xml:space="preserve">IFRS Invested Capital (as reported)</t>
  </si>
  <si>
    <t xml:space="preserve">Total Equity</t>
  </si>
  <si>
    <t xml:space="preserve">Less: Cash</t>
  </si>
  <si>
    <t xml:space="preserve">IFRS Invested Capital</t>
  </si>
  <si>
    <t xml:space="preserve">Average IFRS Invested Capital</t>
  </si>
  <si>
    <t xml:space="preserve">Fair Value Adjustment Tracking</t>
  </si>
  <si>
    <t xml:space="preserve">Annual FV Adj — IP (from IS)</t>
  </si>
  <si>
    <t xml:space="preserve">Cumulative FV Gain on IP</t>
  </si>
  <si>
    <t xml:space="preserve">Actual Invested Capital (cost basis)</t>
  </si>
  <si>
    <t xml:space="preserve">Less: Cumulative FV Gain on IP</t>
  </si>
  <si>
    <t xml:space="preserve">Actual Invested Capital</t>
  </si>
  <si>
    <t xml:space="preserve">Average Actual Invested Capital</t>
  </si>
  <si>
    <t xml:space="preserve">Return Inputs</t>
  </si>
  <si>
    <t xml:space="preserve">NOI</t>
  </si>
  <si>
    <t xml:space="preserve">G&amp;A</t>
  </si>
  <si>
    <t xml:space="preserve">NOI − G&amp;A</t>
  </si>
  <si>
    <t xml:space="preserve">Investment Properties (FV)</t>
  </si>
  <si>
    <t xml:space="preserve">Average IP (FV)</t>
  </si>
  <si>
    <t xml:space="preserve">Returns — IFRS Basis</t>
  </si>
  <si>
    <t xml:space="preserve">NOI / Avg IP (FV) — Implied Cap Rate</t>
  </si>
  <si>
    <t xml:space="preserve">(NOI−G&amp;A) / Avg IFRS IC</t>
  </si>
  <si>
    <t xml:space="preserve">FFO / Avg Equity (FFO ROE)</t>
  </si>
  <si>
    <t xml:space="preserve">Returns — Actual Invested Capital (cost basis)</t>
  </si>
  <si>
    <t xml:space="preserve">NOI / Avg IP (Cost) — Cost-Basis Cap Rate</t>
  </si>
  <si>
    <t xml:space="preserve">(NOI−G&amp;A) / Avg Actual IC (True ROIC)</t>
  </si>
  <si>
    <t xml:space="preserve">Diagnostic — IFRS Distortion</t>
  </si>
  <si>
    <t xml:space="preserve">ROIC Spread (Actual vs IFRS), bps</t>
  </si>
  <si>
    <t xml:space="preserve">Cumulative FV Gain as % of IP (FV)</t>
  </si>
  <si>
    <t xml:space="preserve">Leverage Amplification Test</t>
  </si>
  <si>
    <t xml:space="preserve">Expected vs. actual amplification of SS NOI growth into AFFO/unit growth</t>
  </si>
  <si>
    <t xml:space="preserve">Reference: Amplification Ratio Lookup Table</t>
  </si>
  <si>
    <t xml:space="preserve">At leverage X, SS NOI growth should amplify by this multiple into AFFO/u growth</t>
  </si>
  <si>
    <t xml:space="preserve">Expected Amplification Ratio</t>
  </si>
  <si>
    <t xml:space="preserve">Inputs</t>
  </si>
  <si>
    <t xml:space="preserve">Net Debt / EBITDA (from BS)</t>
  </si>
  <si>
    <t xml:space="preserve">SS NOI Growth (from Ops)</t>
  </si>
  <si>
    <t xml:space="preserve">RF-AFFO/Unit Growth (YoY)</t>
  </si>
  <si>
    <t xml:space="preserve">Amplification Test</t>
  </si>
  <si>
    <t xml:space="preserve">Expected Amplification Ratio (at 10x ND/EBITDA)</t>
  </si>
  <si>
    <t xml:space="preserve">Expected AFFO/Unit Growth (SS NOI × Amp)</t>
  </si>
  <si>
    <t xml:space="preserve">Actual RF-AFFO/Unit Growth</t>
  </si>
  <si>
    <t xml:space="preserve">Amplification Shortfall (bps)</t>
  </si>
  <si>
    <t xml:space="preserve">Actual Amplification Ratio</t>
  </si>
  <si>
    <t xml:space="preserve">Shortfall Decomposition (bps contribution)</t>
  </si>
  <si>
    <t xml:space="preserve">Interest Expense Growth (YoY)</t>
  </si>
  <si>
    <t xml:space="preserve">   Interest drag (int growth − NOI growth)</t>
  </si>
  <si>
    <t xml:space="preserve">Unit Dilution (YoY)</t>
  </si>
  <si>
    <t xml:space="preserve">   Dilution drag (bps)</t>
  </si>
  <si>
    <t xml:space="preserve">Capex Intensity (Existing Capex / NOI)</t>
  </si>
  <si>
    <t xml:space="preserve">   vs. 15% Reference</t>
  </si>
  <si>
    <t xml:space="preserve">Value Leakage Decomposition</t>
  </si>
  <si>
    <t xml:space="preserve">Where operating growth went — drains consuming NOI achievement</t>
  </si>
  <si>
    <t xml:space="preserve">DRAIN 1: Interest Expense</t>
  </si>
  <si>
    <t xml:space="preserve">Cash Interest Expense ($000s)</t>
  </si>
  <si>
    <t xml:space="preserve">Interest Growth (YoY)</t>
  </si>
  <si>
    <t xml:space="preserve">Interest as % of NOI</t>
  </si>
  <si>
    <t xml:space="preserve">DRAIN 2: Unit Dilution</t>
  </si>
  <si>
    <t xml:space="preserve">Unit Growth (YoY)</t>
  </si>
  <si>
    <t xml:space="preserve">Cumulative Dilution vs FY2021</t>
  </si>
  <si>
    <t xml:space="preserve">DRIP Issuance ($000s)</t>
  </si>
  <si>
    <t xml:space="preserve">Net Equity Issuance ($000s)</t>
  </si>
  <si>
    <t xml:space="preserve">NCIB Repurchases ($000s)</t>
  </si>
  <si>
    <t xml:space="preserve">DRAIN 3: Unfunded Distribution (CFS-FCF Shortfall)</t>
  </si>
  <si>
    <t xml:space="preserve">Distributions Declared ($000s)</t>
  </si>
  <si>
    <t xml:space="preserve">Annual CFS-FCF Shortfall ($000s)</t>
  </si>
  <si>
    <t xml:space="preserve">Summary: NOI Growth → RF-AFFO/Unit Growth Gap</t>
  </si>
  <si>
    <t xml:space="preserve">NOI CAGR (FY2021→FY2025)</t>
  </si>
  <si>
    <t xml:space="preserve">RF-AFFO/Unit CAGR (FY2021→FY2025)</t>
  </si>
  <si>
    <t xml:space="preserve">Annual Conversion Gap (bps)</t>
  </si>
  <si>
    <t xml:space="preserve">NOI Growth ($000s: FY2021→FY2025)</t>
  </si>
  <si>
    <t xml:space="preserve">Incremental Interest ($000s)</t>
  </si>
  <si>
    <t xml:space="preserve">Interest consumed % of NOI growth</t>
  </si>
  <si>
    <t xml:space="preserve">Leverage Amplification — First-Principles Scenario Builder</t>
  </si>
  <si>
    <t xml:space="preserve">Toggle yellow cells to see how assumptions drive amplification at each leverage level</t>
  </si>
  <si>
    <t xml:space="preserve">ASSUMPTIONS — Toggle Any Yellow Cell</t>
  </si>
  <si>
    <t xml:space="preserve">Base NOI ($000s)</t>
  </si>
  <si>
    <t xml:space="preserve">← Normalized starting NOI</t>
  </si>
  <si>
    <t xml:space="preserve">Capitalization Rate</t>
  </si>
  <si>
    <t xml:space="preserve">← Determines property value</t>
  </si>
  <si>
    <t xml:space="preserve">NOI Growth Rate (annual)</t>
  </si>
  <si>
    <t xml:space="preserve">← Same-store NOI growth</t>
  </si>
  <si>
    <t xml:space="preserve">G&amp;A as % of NOI</t>
  </si>
  <si>
    <t xml:space="preserve">← CAPREIT actual: ~8.4%</t>
  </si>
  <si>
    <t xml:space="preserve">G&amp;A Growth Rate</t>
  </si>
  <si>
    <t xml:space="preserve">← Assume tracks NOI growth</t>
  </si>
  <si>
    <t xml:space="preserve">WA Interest Rate</t>
  </si>
  <si>
    <t xml:space="preserve">← CAPREIT FY2025: 3.08%</t>
  </si>
  <si>
    <t xml:space="preserve">Maint Capex as % of NOI</t>
  </si>
  <si>
    <t xml:space="preserve">← Non-discretionary: ~10%</t>
  </si>
  <si>
    <t xml:space="preserve">Full Capex as % of NOI</t>
  </si>
  <si>
    <t xml:space="preserve">← CAPREIT FY2025: ~35%</t>
  </si>
  <si>
    <t xml:space="preserve">Annual Unit Dilution Rate</t>
  </si>
  <si>
    <t xml:space="preserve">← NCIB: ~-1%/yr (buybacks)</t>
  </si>
  <si>
    <t xml:space="preserve">DERIVED FROM ASSUMPTIONS</t>
  </si>
  <si>
    <t xml:space="preserve">Property Value ($000s)</t>
  </si>
  <si>
    <t xml:space="preserve">EBITDA (Year 1) = NOI − G&amp;A</t>
  </si>
  <si>
    <t xml:space="preserve">BALANCE SHEET AT EACH LEVERAGE LEVEL</t>
  </si>
  <si>
    <t xml:space="preserve">4.0x ND/EBITDA</t>
  </si>
  <si>
    <t xml:space="preserve">6.0x ND/EBITDA</t>
  </si>
  <si>
    <t xml:space="preserve">8.0x ND/EBITDA</t>
  </si>
  <si>
    <t xml:space="preserve">10.0x ND/EBITDA</t>
  </si>
  <si>
    <t xml:space="preserve">12.0x ND/EBITDA</t>
  </si>
  <si>
    <t xml:space="preserve">Net Debt ($000s)</t>
  </si>
  <si>
    <t xml:space="preserve">Equity ($000s)</t>
  </si>
  <si>
    <t xml:space="preserve">YEAR 1 — INCOME WATERFALL</t>
  </si>
  <si>
    <t xml:space="preserve">NOI ($000s)</t>
  </si>
  <si>
    <t xml:space="preserve">Less: Interest Expense</t>
  </si>
  <si>
    <t xml:space="preserve">Less: Maint Capex</t>
  </si>
  <si>
    <t xml:space="preserve">RF-AFFO</t>
  </si>
  <si>
    <t xml:space="preserve">Less: Additional Capex (CFS − mgmt)</t>
  </si>
  <si>
    <t xml:space="preserve">CFS-FCF</t>
  </si>
  <si>
    <t xml:space="preserve">Units</t>
  </si>
  <si>
    <t xml:space="preserve">YEAR 2 — INCOME WATERFALL (after growth)</t>
  </si>
  <si>
    <t xml:space="preserve">Less: Interest (same debt)</t>
  </si>
  <si>
    <t xml:space="preserve">Units (after dilution/buyback)</t>
  </si>
  <si>
    <t xml:space="preserve">AMPLIFICATION RESULTS</t>
  </si>
  <si>
    <t xml:space="preserve">NOI Growth (input)</t>
  </si>
  <si>
    <t xml:space="preserve">RF-AFFO/Unit Growth</t>
  </si>
  <si>
    <t xml:space="preserve">RF-AFFO Amplification Ratio (AFFO gr ÷ NOI gr)</t>
  </si>
  <si>
    <t xml:space="preserve">Private Buyer Return Profile — CAPREIT</t>
  </si>
  <si>
    <t xml:space="preserve">CAD $000s | Blue = hardcoded input | Green = cross-sheet link | Yellow = toggle</t>
  </si>
  <si>
    <t xml:space="preserve">ASSUMPTIONS — Toggle Yellow Cells</t>
  </si>
  <si>
    <t xml:space="preserve">Toggle: ~premium to market</t>
  </si>
  <si>
    <t xml:space="preserve">SS NOI Growth Rate</t>
  </si>
  <si>
    <t xml:space="preserve">CAPREIT 10yr avg</t>
  </si>
  <si>
    <t xml:space="preserve">Assumed = NOI growth</t>
  </si>
  <si>
    <t xml:space="preserve">Capex Growth Rate</t>
  </si>
  <si>
    <t xml:space="preserve">WA Interest Rate (held constant)</t>
  </si>
  <si>
    <t xml:space="preserve">Source: Ops tab</t>
  </si>
  <si>
    <t xml:space="preserve">Exit Cap Rate — Canadian Res</t>
  </si>
  <si>
    <t xml:space="preserve">Per NAV tab</t>
  </si>
  <si>
    <t xml:space="preserve">Hold Period (years)</t>
  </si>
  <si>
    <t xml:space="preserve">ENTRY METRICS</t>
  </si>
  <si>
    <t xml:space="preserve">Market Capitalization ($000s)</t>
  </si>
  <si>
    <t xml:space="preserve">Plus: Net Debt ($000s)</t>
  </si>
  <si>
    <t xml:space="preserve">Implied Property EV ($000s)</t>
  </si>
  <si>
    <t xml:space="preserve">FY2026 NOI ($000s)</t>
  </si>
  <si>
    <t xml:space="preserve">Going-in Cap Rate</t>
  </si>
  <si>
    <t xml:space="preserve">Going-in ND / EBITDA</t>
  </si>
  <si>
    <t xml:space="preserve">5-YEAR CASH FLOW PROJECTION ($000s)</t>
  </si>
  <si>
    <t xml:space="preserve">FY2025 Base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</si>
  <si>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</si>
  <si>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</si>
  <si>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</si>
  <si>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</si>
  <si>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</si>
  <si>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EBITDA</t>
  </si>
  <si>
    <t xml:space="preserve">Less: Cash Interest Expense</t>
  </si>
  <si>
    <t xml:space="preserve">Equity Free Cash Flow</t>
  </si>
  <si>
    <t xml:space="preserve">EFCF CAGR</t>
  </si>
  <si>
    <t xml:space="preserve">Beginning Net Debt</t>
  </si>
  <si>
    <t xml:space="preserve">ND / EBITDA</t>
  </si>
  <si>
    <t xml:space="preserve">TERMINAL VALUE</t>
  </si>
  <si>
    <t xml:space="preserve">Year 5 Forward NOI</t>
  </si>
  <si>
    <t xml:space="preserve">Exit Cap Rate</t>
  </si>
  <si>
    <t xml:space="preserve">Terminal Property Value ($000s)</t>
  </si>
  <si>
    <t xml:space="preserve">Less: Terminal Net Debt ($000s)</t>
  </si>
  <si>
    <t xml:space="preserve">Terminal Equity Value ($000s)</t>
  </si>
  <si>
    <t xml:space="preserve">Terminal Equity / Entry Equity</t>
  </si>
  <si>
    <t xml:space="preserve">LEVERED IRR</t>
  </si>
  <si>
    <t xml:space="preserve">Year</t>
  </si>
  <si>
    <t xml:space="preserve">Cash Flow</t>
  </si>
  <si>
    <t xml:space="preserve">Levered IRR</t>
  </si>
  <si>
    <t xml:space="preserve">Operating Metrics — Segment Build</t>
  </si>
  <si>
    <t xml:space="preserve">Three distinct businesses: Canadian Res (permanent core), Netherlands/ERES (wind-down), MHC (disposed FY2024)</t>
  </si>
  <si>
    <t xml:space="preserve">SEGMENT REVENUE ($000s)</t>
  </si>
  <si>
    <t xml:space="preserve">Canadian Revenue (Note 28 / MD&amp;A)</t>
  </si>
  <si>
    <t xml:space="preserve">Europe / ERES Revenue</t>
  </si>
  <si>
    <t xml:space="preserve">MHC Revenue</t>
  </si>
  <si>
    <t xml:space="preserve">Total Consolidated Revenue</t>
  </si>
  <si>
    <t xml:space="preserve">IS Revenue (check)</t>
  </si>
  <si>
    <t xml:space="preserve">Variance</t>
  </si>
  <si>
    <t xml:space="preserve">SEGMENT NOI ($000s)</t>
  </si>
  <si>
    <t xml:space="preserve">Canadian Residential NOI</t>
  </si>
  <si>
    <t xml:space="preserve">Core permanent business</t>
  </si>
  <si>
    <t xml:space="preserve">Europe / ERES NOI</t>
  </si>
  <si>
    <t xml:space="preserve">Consolidated at 65% from FY2019; wind-down</t>
  </si>
  <si>
    <t xml:space="preserve">MHC NOI</t>
  </si>
  <si>
    <t xml:space="preserve">Disposed FY2024 — zero going forward</t>
  </si>
  <si>
    <t xml:space="preserve">Total Segment NOI</t>
  </si>
  <si>
    <t xml:space="preserve">Acquisition NOI Contribution</t>
  </si>
  <si>
    <t xml:space="preserve">Disposition NOI Lost (current + cumulative)</t>
  </si>
  <si>
    <t xml:space="preserve">Total Consolidated NOI (incl. acq/dispo)</t>
  </si>
  <si>
    <t xml:space="preserve">IS NOI (check)</t>
  </si>
  <si>
    <t xml:space="preserve">IRES EQUITY-ACCOUNTED INCOME (Pre-Consolidation)</t>
  </si>
  <si>
    <t xml:space="preserve">Net Profit from IRES (in Other Income)</t>
  </si>
  <si>
    <t xml:space="preserve">FY2015-2018: equity method. FY2019+: consolidated</t>
  </si>
  <si>
    <t xml:space="preserve">  of which: Unrealized FV gain (non-cash)</t>
  </si>
  <si>
    <t xml:space="preserve">Backed out in FFO</t>
  </si>
  <si>
    <t xml:space="preserve">  Operating IRES income (cash-like)</t>
  </si>
  <si>
    <t xml:space="preserve">IRES profit less FV gains</t>
  </si>
  <si>
    <t xml:space="preserve">IRES Asset/Property Management Fees</t>
  </si>
  <si>
    <t xml:space="preserve">Earned by CAPREIT from IRES</t>
  </si>
  <si>
    <t xml:space="preserve">ERES NCI — 35% Non-Controlling Interest</t>
  </si>
  <si>
    <t xml:space="preserve">Financial liability on BS, not equity NCI</t>
  </si>
  <si>
    <t xml:space="preserve">ERES NCI Interest + Special ($000s)</t>
  </si>
  <si>
    <t xml:space="preserve">Distributions to NCI holders — CFS financing</t>
  </si>
  <si>
    <t xml:space="preserve">FFO Deduction — ERES NCI (35% of Europe FFO)</t>
  </si>
  <si>
    <t xml:space="preserve">Deducted from consolidated FFO</t>
  </si>
  <si>
    <t xml:space="preserve">SAME-PROPERTY PERFORMANCE (Canadian Residential)</t>
  </si>
  <si>
    <t xml:space="preserve">Same-Property NOI Growth</t>
  </si>
  <si>
    <t xml:space="preserve">Canadian residential core</t>
  </si>
  <si>
    <t xml:space="preserve">OCCUPANCY &amp; RENTS (Canadian Residential)</t>
  </si>
  <si>
    <t xml:space="preserve">Total Portfolio Occupancy</t>
  </si>
  <si>
    <t xml:space="preserve">Canadian Residential AMR ($)</t>
  </si>
  <si>
    <t xml:space="preserve">LEVERAGE &amp; DEBT</t>
  </si>
  <si>
    <t xml:space="preserve">WA Appraisal Cap Rate</t>
  </si>
  <si>
    <t xml:space="preserve">PORTFOLIO COMPOSITION</t>
  </si>
  <si>
    <t xml:space="preserve">Canadian Residential Suites</t>
  </si>
  <si>
    <t xml:space="preserve">Netherlands Suites</t>
  </si>
  <si>
    <t xml:space="preserve">MHC Sites</t>
  </si>
  <si>
    <t xml:space="preserve">Total Suites &amp; Sites</t>
  </si>
  <si>
    <t xml:space="preserve">UNITS OUTSTANDING &amp; DILUTED</t>
  </si>
  <si>
    <t xml:space="preserve">CAPITAL EXPENDITURES</t>
  </si>
  <si>
    <t xml:space="preserve">Non-Discretionary Capex (ACFO basis)</t>
  </si>
  <si>
    <t xml:space="preserve">Capital Allocation — Segment Balance Sheet Decomposition</t>
  </si>
  <si>
    <t xml:space="preserve">Where every dollar of invested capital sits | Three businesses + JVs + equity-accounted investments</t>
  </si>
  <si>
    <t xml:space="preserve">INVESTMENT PROPERTIES BY SEGMENT ($000s)</t>
  </si>
  <si>
    <t xml:space="preserve">TOTAL Consolidated IP (IFRS)</t>
  </si>
  <si>
    <t xml:space="preserve">Canada (Core — Permanent)</t>
  </si>
  <si>
    <t xml:space="preserve">  Canadian Residential IP</t>
  </si>
  <si>
    <t xml:space="preserve">  MHC IP</t>
  </si>
  <si>
    <t xml:space="preserve">Total Canada IP</t>
  </si>
  <si>
    <t xml:space="preserve">Europe / ERES (65% Consolidated — Wind-Down)</t>
  </si>
  <si>
    <t xml:space="preserve">  Netherlands Residential IP (direct)</t>
  </si>
  <si>
    <t xml:space="preserve">  Other Europe (Germany/Belgium)</t>
  </si>
  <si>
    <t xml:space="preserve">Total Europe IP</t>
  </si>
  <si>
    <t xml:space="preserve">Europe as % of Total IP</t>
  </si>
  <si>
    <t xml:space="preserve">MORTGAGE DEBT BY SEGMENT ($000s)</t>
  </si>
  <si>
    <t xml:space="preserve">TOTAL Consolidated Mortgages</t>
  </si>
  <si>
    <t xml:space="preserve">Canadian Mortgages (CMHC-insured)</t>
  </si>
  <si>
    <t xml:space="preserve">ERES Mortgages (European)</t>
  </si>
  <si>
    <t xml:space="preserve">ERES Mortgages as % of Total</t>
  </si>
  <si>
    <t xml:space="preserve">% CMHC-Insured (Canadian)</t>
  </si>
  <si>
    <t xml:space="preserve">JOINT VENTURES &amp; CO-OWNERSHIPS (CAPREIT's Proportionate Share, $000s)</t>
  </si>
  <si>
    <t xml:space="preserve">Proportionately consolidated within total IP and total mortgages above</t>
  </si>
  <si>
    <t xml:space="preserve">JV Assets (CAPREIT share)</t>
  </si>
  <si>
    <t xml:space="preserve">JV Liabilities (CAPREIT share)</t>
  </si>
  <si>
    <t xml:space="preserve">JV Revenue (CAPREIT share)</t>
  </si>
  <si>
    <t xml:space="preserve">JV Net Income (CAPREIT share)</t>
  </si>
  <si>
    <t xml:space="preserve">JV Net Equity (Assets − Liabilities)</t>
  </si>
  <si>
    <t xml:space="preserve">JV Assets as % of Total IP</t>
  </si>
  <si>
    <t xml:space="preserve">IRES INVESTMENT LIFECYCLE ($000s)</t>
  </si>
  <si>
    <t xml:space="preserve">FY2015-2018: Equity accounted (18% ownership). FY2019: ERES consolidated (65%). FY2022: Reclassified FVTPL. FY2024: Disposed.</t>
  </si>
  <si>
    <t xml:space="preserve">Investment in Associate (BS line)</t>
  </si>
  <si>
    <t xml:space="preserve">Investments at FVTPL (BS line)</t>
  </si>
  <si>
    <t xml:space="preserve">Total European Investment (off-IP)</t>
  </si>
  <si>
    <t xml:space="preserve">Equity-Accounted Income (IS Other Income)</t>
  </si>
  <si>
    <t xml:space="preserve">  Operating (cash-like) IRES income</t>
  </si>
  <si>
    <t xml:space="preserve">IRES Management Fees Earned</t>
  </si>
  <si>
    <t xml:space="preserve">Return on IRES Investment (%)</t>
  </si>
  <si>
    <t xml:space="preserve">ERES NCI — FINANCIAL LIABILITY ($000s)</t>
  </si>
  <si>
    <t xml:space="preserve">ERES NCI Liability (BS)</t>
  </si>
  <si>
    <t xml:space="preserve">ERES NAV (€000s, from notes)</t>
  </si>
  <si>
    <t xml:space="preserve">ERES Interest + Special Payments ($000s)</t>
  </si>
  <si>
    <t xml:space="preserve">IS: Gain/(Loss) on NCI</t>
  </si>
  <si>
    <t xml:space="preserve">FFO Deduction — NCI (35% × Europe FFO)</t>
  </si>
  <si>
    <t xml:space="preserve">VTB MORTGAGES RECEIVABLE ($000s)</t>
  </si>
  <si>
    <t xml:space="preserve">Seller-financed mortgages from CAPREIT dispositions — generates interest income</t>
  </si>
  <si>
    <t xml:space="preserve">VTB Balance</t>
  </si>
  <si>
    <t xml:space="preserve">VTB Interest Income</t>
  </si>
  <si>
    <t xml:space="preserve">Implied VTB Yield (%)</t>
  </si>
  <si>
    <t xml:space="preserve">Key transactions:</t>
  </si>
  <si>
    <t xml:space="preserve">FY2021: 506 suites Toronto (33.3% JV) — VTB $68M; 86 suites Toronto — VTB $47M</t>
  </si>
  <si>
    <t xml:space="preserve">FY2024: Settlement $46M. New VTBs on FY2024 dispositions $130M.</t>
  </si>
  <si>
    <t xml:space="preserve">TOTAL INVESTED CAPITAL DECOMPOSITION ($000s)</t>
  </si>
  <si>
    <t xml:space="preserve">Canadian Residential IP</t>
  </si>
  <si>
    <t xml:space="preserve">MHC IP</t>
  </si>
  <si>
    <t xml:space="preserve">Europe IP (consolidated)</t>
  </si>
  <si>
    <t xml:space="preserve">IRES/FVTPL Investment (off-IP)</t>
  </si>
  <si>
    <t xml:space="preserve">VTB Mortgages Receivable</t>
  </si>
  <si>
    <t xml:space="preserve">Cash &amp; Other Net Assets</t>
  </si>
  <si>
    <t xml:space="preserve">TOTAL GROSS ASSETS</t>
  </si>
  <si>
    <t xml:space="preserve">FUNDED BY:</t>
  </si>
  <si>
    <t xml:space="preserve">Canadian Mortgages (CMHC)</t>
  </si>
  <si>
    <t xml:space="preserve">ERES Mortgages</t>
  </si>
  <si>
    <t xml:space="preserve">Credit Facilities</t>
  </si>
  <si>
    <t xml:space="preserve">ERES NCI (Financial Liability)</t>
  </si>
  <si>
    <t xml:space="preserve">Other Liabilities</t>
  </si>
  <si>
    <t xml:space="preserve">Unitholders' Equity (residual)</t>
  </si>
  <si>
    <t xml:space="preserve">TOTAL FUNDING</t>
  </si>
  <si>
    <t xml:space="preserve">ASSET MIX (% of Total Gross Assets)</t>
  </si>
  <si>
    <t xml:space="preserve">Europe IP</t>
  </si>
  <si>
    <t xml:space="preserve">IRES/FVTPL Off-IP</t>
  </si>
  <si>
    <t xml:space="preserve">VTB Receivables</t>
  </si>
  <si>
    <t xml:space="preserve">FUNDING MIX (% of Total Gross Assets)</t>
  </si>
  <si>
    <t xml:space="preserve">Canadian Mortgages</t>
  </si>
  <si>
    <t xml:space="preserve">ERES NCI</t>
  </si>
  <si>
    <t xml:space="preserve">Unitholders' Equity</t>
  </si>
  <si>
    <t xml:space="preserve">CAPITAL ALLOCATION TRACK RECORD</t>
  </si>
  <si>
    <t xml:space="preserve">Cumulative Acquisitions ($000s)</t>
  </si>
  <si>
    <t xml:space="preserve">Cumulative Dispositions ($000s)</t>
  </si>
  <si>
    <t xml:space="preserve">Net Capital Deployed (Acq − Dispo)</t>
  </si>
  <si>
    <t xml:space="preserve">Cumulative Equity Issuance ($000s)</t>
  </si>
  <si>
    <t xml:space="preserve">Cumulative NCIB ($000s)</t>
  </si>
  <si>
    <t xml:space="preserve">Net Equity Flow (Issuance − NCIB)</t>
  </si>
  <si>
    <t xml:space="preserve">THE CAPITAL ALLOCATION STORY:</t>
  </si>
  <si>
    <t xml:space="preserve">FY2015-2021: Aggressive growth phase — $5.3B cumulative acquisitions funded by $1.9B equity + $3B+ new debt + ERES consolidation.</t>
  </si>
  <si>
    <t xml:space="preserve">FY2022-2024: Reversal — $4.1B cumulative dispositions, $728M NCIB, ERES wind-down. Net seller of assets, net buyer of units.</t>
  </si>
  <si>
    <t xml:space="preserve">FY2025+: Pure-play Canadian residential. Zero JVs, zero MHC, Europe heading to zero. NCIB funded by disposition proceeds + organic FCF.</t>
  </si>
  <si>
    <t xml:space="preserve">The question: Did the European detour and growth-at-all-costs era create or destroy per-unit value? ROIC tab answers.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</si>
</sst>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%"/>
    <numFmt numFmtId="166" formatCode="\$#,##0"/>
    <numFmt numFmtId="167" formatCode="#,##0;\(#,##0\);\-"/>
    <numFmt numFmtId="168" formatCode="0.00%"/>
    <numFmt numFmtId="169" formatCode="#,##0"/>
    <numFmt numFmtId="170" formatCode="#,##0.000"/>
    <numFmt numFmtId="171" formatCode="\$#,##0.00"/>
    <numFmt numFmtId="172" formatCode="0"/>
    <numFmt numFmtId="173" formatCode="0.0\x"/>
    <numFmt numFmtId="174" formatCode="0.00\x"/>
    <numFmt numFmtId="175" formatCode="0.0"/>
    <numFmt numFmtId="176" formatCode="0.00000"/>
    <numFmt numFmtId="177" formatCode="#,##0;\(#,##0\);\-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10"/>
      <color rgb="FF999999"/>
      <name val="Arial"/>
      <family val="0"/>
      <charset val="1"/>
    </font>
    <font>
      <sz val="10"/>
      <color rgb="FF008000"/>
      <name val="Arial"/>
      <family val="0"/>
      <charset val="1"/>
    </font>
    <font>
      <i val="true"/>
      <sz val="10"/>
      <color rgb="FFFF0000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9E1F2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E2EFDA"/>
        <bgColor rgb="FFD9E1F2"/>
      </patternFill>
    </fill>
    <fill>
      <patternFill patternType="solid">
        <fgColor rgb="FFFCE4D6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BF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CE4D6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70AD47"/>
      <rgbColor rgb="FFFFC000"/>
      <rgbColor rgb="FFFF9900"/>
      <rgbColor rgb="FFED7D31"/>
      <rgbColor rgb="FF666666"/>
      <rgbColor rgb="FF999999"/>
      <rgbColor rgb="FF002060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G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5"/>
    <col collapsed="false" customWidth="true" hidden="false" outlineLevel="0" max="6" min="2" style="1" width="14"/>
    <col collapsed="false" customWidth="true" hidden="false" outlineLevel="0" max="7" min="7" style="1" width="55"/>
  </cols>
  <sheetData>
    <row r="1" customFormat="false" ht="1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</row>
    <row r="3" customFormat="false" ht="15" hidden="false" customHeight="true" outlineLevel="0" collapsed="false">
      <c r="A3" s="4" t="s">
        <v>2</v>
      </c>
    </row>
    <row r="5" customFormat="false" ht="15" hidden="false" customHeight="true" outlineLevel="0" collapsed="false"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</row>
    <row r="7" customFormat="false" ht="15" hidden="false" customHeight="true" outlineLevel="0" collapsed="false">
      <c r="A7" s="6" t="s">
        <v>8</v>
      </c>
      <c r="B7" s="7"/>
      <c r="C7" s="7"/>
      <c r="D7" s="7"/>
      <c r="E7" s="7"/>
      <c r="F7" s="7"/>
      <c r="G7" s="7"/>
    </row>
    <row r="8" customFormat="false" ht="15" hidden="false" customHeight="true" outlineLevel="0" collapsed="false">
      <c r="A8" s="8" t="s">
        <v>9</v>
      </c>
      <c r="B8" s="9" t="n">
        <f aca="false">B9*B10+(1-B9)*B11</f>
        <v>0.03196</v>
      </c>
      <c r="C8" s="9" t="n">
        <f aca="false">C9*C10+(1-C9)*C11</f>
        <v>0.03196</v>
      </c>
      <c r="D8" s="9" t="n">
        <f aca="false">D9*D10+(1-D9)*D11</f>
        <v>0.03196</v>
      </c>
      <c r="E8" s="9" t="n">
        <f aca="false">E9*E10+(1-E9)*E11</f>
        <v>0.03196</v>
      </c>
      <c r="F8" s="9" t="n">
        <f aca="false">F9*F10+(1-F9)*F11</f>
        <v>0.03196</v>
      </c>
      <c r="G8" s="4" t="s">
        <v>10</v>
      </c>
    </row>
    <row r="9" customFormat="false" ht="15" hidden="false" customHeight="true" outlineLevel="0" collapsed="false">
      <c r="A9" s="8" t="s">
        <v>11</v>
      </c>
      <c r="B9" s="10" t="n">
        <v>0.18</v>
      </c>
      <c r="C9" s="10" t="n">
        <v>0.18</v>
      </c>
      <c r="D9" s="10" t="n">
        <v>0.18</v>
      </c>
      <c r="E9" s="10" t="n">
        <v>0.18</v>
      </c>
      <c r="F9" s="10" t="n">
        <v>0.18</v>
      </c>
      <c r="G9" s="4" t="s">
        <v>12</v>
      </c>
    </row>
    <row r="10" customFormat="false" ht="15" hidden="false" customHeight="true" outlineLevel="0" collapsed="false">
      <c r="A10" s="8" t="s">
        <v>13</v>
      </c>
      <c r="B10" s="10" t="n">
        <v>0.05</v>
      </c>
      <c r="C10" s="10" t="n">
        <v>0.05</v>
      </c>
      <c r="D10" s="10" t="n">
        <v>0.05</v>
      </c>
      <c r="E10" s="10" t="n">
        <v>0.05</v>
      </c>
      <c r="F10" s="10" t="n">
        <v>0.05</v>
      </c>
      <c r="G10" s="4" t="s">
        <v>14</v>
      </c>
    </row>
    <row r="11" customFormat="false" ht="15" hidden="false" customHeight="true" outlineLevel="0" collapsed="false">
      <c r="A11" s="8" t="s">
        <v>15</v>
      </c>
      <c r="B11" s="10" t="n">
        <v>0.028</v>
      </c>
      <c r="C11" s="10" t="n">
        <v>0.028</v>
      </c>
      <c r="D11" s="10" t="n">
        <v>0.028</v>
      </c>
      <c r="E11" s="10" t="n">
        <v>0.028</v>
      </c>
      <c r="F11" s="10" t="n">
        <v>0.028</v>
      </c>
      <c r="G11" s="4" t="s">
        <v>16</v>
      </c>
    </row>
    <row r="12" customFormat="false" ht="15" hidden="false" customHeight="true" outlineLevel="0" collapsed="false">
      <c r="A12" s="11" t="s">
        <v>17</v>
      </c>
      <c r="B12" s="12" t="n">
        <f aca="false">B8</f>
        <v>0.03196</v>
      </c>
      <c r="C12" s="12" t="n">
        <f aca="false">C8</f>
        <v>0.03196</v>
      </c>
      <c r="D12" s="12" t="n">
        <f aca="false">D8</f>
        <v>0.03196</v>
      </c>
      <c r="E12" s="12" t="n">
        <f aca="false">E8</f>
        <v>0.03196</v>
      </c>
      <c r="F12" s="12" t="n">
        <f aca="false">F8</f>
        <v>0.03196</v>
      </c>
      <c r="G12" s="4" t="s">
        <v>18</v>
      </c>
    </row>
    <row r="13" customFormat="false" ht="15" hidden="false" customHeight="true" outlineLevel="0" collapsed="false">
      <c r="A13" s="8" t="s">
        <v>19</v>
      </c>
      <c r="B13" s="10" t="n">
        <v>0.975</v>
      </c>
      <c r="C13" s="10" t="n">
        <v>0.975</v>
      </c>
      <c r="D13" s="10" t="n">
        <v>0.975</v>
      </c>
      <c r="E13" s="10" t="n">
        <v>0.975</v>
      </c>
      <c r="F13" s="10" t="n">
        <v>0.975</v>
      </c>
      <c r="G13" s="4" t="s">
        <v>20</v>
      </c>
    </row>
    <row r="14" customFormat="false" ht="15" hidden="false" customHeight="true" outlineLevel="0" collapsed="false">
      <c r="A14" s="8" t="s">
        <v>21</v>
      </c>
      <c r="B14" s="13" t="n">
        <v>1778</v>
      </c>
      <c r="C14" s="14" t="n">
        <f aca="false">B14*(1+C8)</f>
        <v>1834.82488</v>
      </c>
      <c r="D14" s="14" t="n">
        <f aca="false">C14*(1+D8)</f>
        <v>1893.4658831648</v>
      </c>
      <c r="E14" s="14" t="n">
        <f aca="false">D14*(1+E8)</f>
        <v>1953.98105279075</v>
      </c>
      <c r="F14" s="14" t="n">
        <f aca="false">E14*(1+F8)</f>
        <v>2016.43028723794</v>
      </c>
      <c r="G14" s="4" t="s">
        <v>22</v>
      </c>
    </row>
    <row r="16" customFormat="false" ht="15" hidden="false" customHeight="true" outlineLevel="0" collapsed="false">
      <c r="A16" s="6" t="s">
        <v>23</v>
      </c>
      <c r="B16" s="7"/>
      <c r="C16" s="7"/>
      <c r="D16" s="7"/>
      <c r="E16" s="7"/>
      <c r="F16" s="7"/>
      <c r="G16" s="7"/>
    </row>
    <row r="17" customFormat="false" ht="15" hidden="false" customHeight="true" outlineLevel="0" collapsed="false">
      <c r="A17" s="8" t="s">
        <v>24</v>
      </c>
      <c r="B17" s="10" t="n">
        <v>0.04</v>
      </c>
      <c r="C17" s="10" t="n">
        <v>0.04</v>
      </c>
      <c r="D17" s="10" t="n">
        <v>0.04</v>
      </c>
      <c r="E17" s="10" t="n">
        <v>0.04</v>
      </c>
      <c r="F17" s="10" t="n">
        <v>0.04</v>
      </c>
      <c r="G17" s="4" t="s">
        <v>25</v>
      </c>
    </row>
    <row r="18" customFormat="false" ht="15" hidden="false" customHeight="true" outlineLevel="0" collapsed="false">
      <c r="A18" s="8" t="s">
        <v>26</v>
      </c>
      <c r="B18" s="10" t="n">
        <v>0.03</v>
      </c>
      <c r="C18" s="10" t="n">
        <v>0.03</v>
      </c>
      <c r="D18" s="10" t="n">
        <v>0.03</v>
      </c>
      <c r="E18" s="10" t="n">
        <v>0.03</v>
      </c>
      <c r="F18" s="10" t="n">
        <v>0.03</v>
      </c>
      <c r="G18" s="4" t="s">
        <v>27</v>
      </c>
    </row>
    <row r="19" customFormat="false" ht="15" hidden="false" customHeight="true" outlineLevel="0" collapsed="false">
      <c r="A19" s="8" t="s">
        <v>28</v>
      </c>
      <c r="B19" s="10" t="n">
        <v>0.025</v>
      </c>
      <c r="C19" s="10" t="n">
        <v>0.025</v>
      </c>
      <c r="D19" s="10" t="n">
        <v>0.025</v>
      </c>
      <c r="E19" s="10" t="n">
        <v>0.025</v>
      </c>
      <c r="F19" s="10" t="n">
        <v>0.025</v>
      </c>
      <c r="G19" s="4" t="s">
        <v>29</v>
      </c>
    </row>
    <row r="20" customFormat="false" ht="15" hidden="false" customHeight="true" outlineLevel="0" collapsed="false">
      <c r="A20" s="8" t="s">
        <v>30</v>
      </c>
      <c r="B20" s="15" t="n">
        <f aca="false">0.26*B17+0.18*B18+0.56*B19</f>
        <v>0.0298</v>
      </c>
      <c r="C20" s="15" t="n">
        <f aca="false">0.26*C17+0.18*C18+0.56*C19</f>
        <v>0.0298</v>
      </c>
      <c r="D20" s="15" t="n">
        <f aca="false">0.26*D17+0.18*D18+0.56*D19</f>
        <v>0.0298</v>
      </c>
      <c r="E20" s="15" t="n">
        <f aca="false">0.26*E17+0.18*E18+0.56*E19</f>
        <v>0.0298</v>
      </c>
      <c r="F20" s="15" t="n">
        <f aca="false">0.26*F17+0.18*F18+0.56*F19</f>
        <v>0.0298</v>
      </c>
      <c r="G20" s="4" t="s">
        <v>31</v>
      </c>
    </row>
    <row r="22" customFormat="false" ht="15" hidden="false" customHeight="true" outlineLevel="0" collapsed="false">
      <c r="A22" s="6" t="s">
        <v>32</v>
      </c>
      <c r="B22" s="7"/>
      <c r="C22" s="7"/>
      <c r="D22" s="7"/>
      <c r="E22" s="7"/>
      <c r="F22" s="7"/>
      <c r="G22" s="7"/>
    </row>
    <row r="23" customFormat="false" ht="15" hidden="false" customHeight="true" outlineLevel="0" collapsed="false">
      <c r="A23" s="8" t="s">
        <v>33</v>
      </c>
      <c r="B23" s="16" t="n">
        <v>25000</v>
      </c>
      <c r="C23" s="16" t="n">
        <v>10000</v>
      </c>
      <c r="D23" s="16" t="n">
        <v>0</v>
      </c>
      <c r="E23" s="16" t="n">
        <v>0</v>
      </c>
      <c r="F23" s="16" t="n">
        <v>0</v>
      </c>
      <c r="G23" s="4" t="s">
        <v>34</v>
      </c>
    </row>
    <row r="24" customFormat="false" ht="15" hidden="false" customHeight="true" outlineLevel="0" collapsed="false">
      <c r="A24" s="8" t="s">
        <v>35</v>
      </c>
      <c r="B24" s="16" t="n">
        <v>35000</v>
      </c>
      <c r="C24" s="16" t="n">
        <v>14000</v>
      </c>
      <c r="D24" s="16" t="n">
        <v>0</v>
      </c>
      <c r="E24" s="16" t="n">
        <v>0</v>
      </c>
      <c r="F24" s="16" t="n">
        <v>0</v>
      </c>
      <c r="G24" s="4" t="s">
        <v>36</v>
      </c>
    </row>
    <row r="25" customFormat="false" ht="15" hidden="false" customHeight="true" outlineLevel="0" collapsed="false">
      <c r="A25" s="8" t="s">
        <v>37</v>
      </c>
      <c r="B25" s="16" t="n">
        <v>40000</v>
      </c>
      <c r="C25" s="16" t="n">
        <v>15000</v>
      </c>
      <c r="D25" s="16" t="n">
        <v>0</v>
      </c>
      <c r="E25" s="16" t="n">
        <v>0</v>
      </c>
      <c r="F25" s="16" t="n">
        <v>0</v>
      </c>
      <c r="G25" s="4" t="s">
        <v>38</v>
      </c>
    </row>
    <row r="26" customFormat="false" ht="15" hidden="false" customHeight="true" outlineLevel="0" collapsed="false">
      <c r="A26" s="8" t="s">
        <v>39</v>
      </c>
      <c r="B26" s="16" t="n">
        <v>60000</v>
      </c>
      <c r="C26" s="16" t="n">
        <v>20000</v>
      </c>
      <c r="D26" s="16" t="n">
        <v>0</v>
      </c>
      <c r="E26" s="16" t="n">
        <v>0</v>
      </c>
      <c r="F26" s="16" t="n">
        <v>0</v>
      </c>
      <c r="G26" s="4" t="s">
        <v>40</v>
      </c>
    </row>
    <row r="28" customFormat="false" ht="15" hidden="false" customHeight="true" outlineLevel="0" collapsed="false">
      <c r="A28" s="6" t="s">
        <v>41</v>
      </c>
      <c r="B28" s="7"/>
      <c r="C28" s="7"/>
      <c r="D28" s="7"/>
      <c r="E28" s="7"/>
      <c r="F28" s="7"/>
      <c r="G28" s="7"/>
    </row>
    <row r="29" customFormat="false" ht="15" hidden="false" customHeight="true" outlineLevel="0" collapsed="false">
      <c r="A29" s="8" t="s">
        <v>42</v>
      </c>
      <c r="B29" s="16" t="n">
        <v>0</v>
      </c>
      <c r="C29" s="16" t="n">
        <v>0</v>
      </c>
      <c r="D29" s="16" t="n">
        <v>0</v>
      </c>
      <c r="E29" s="16" t="n">
        <v>0</v>
      </c>
      <c r="F29" s="16" t="n">
        <v>0</v>
      </c>
      <c r="G29" s="4" t="s">
        <v>43</v>
      </c>
    </row>
    <row r="30" customFormat="false" ht="15" hidden="false" customHeight="true" outlineLevel="0" collapsed="false">
      <c r="A30" s="8" t="s">
        <v>44</v>
      </c>
      <c r="B30" s="10" t="n">
        <v>0.05</v>
      </c>
      <c r="C30" s="10" t="n">
        <v>0.05</v>
      </c>
      <c r="D30" s="10" t="n">
        <v>0.05</v>
      </c>
      <c r="E30" s="10" t="n">
        <v>0.05</v>
      </c>
      <c r="F30" s="10" t="n">
        <v>0.05</v>
      </c>
      <c r="G30" s="4" t="s">
        <v>45</v>
      </c>
    </row>
    <row r="31" customFormat="false" ht="15" hidden="false" customHeight="true" outlineLevel="0" collapsed="false">
      <c r="A31" s="8" t="s">
        <v>46</v>
      </c>
      <c r="B31" s="17" t="n">
        <f aca="false">B29*B30*0.5</f>
        <v>0</v>
      </c>
      <c r="C31" s="17" t="n">
        <f aca="false">C29*C30*0.5</f>
        <v>0</v>
      </c>
      <c r="D31" s="17" t="n">
        <f aca="false">D29*D30*0.5</f>
        <v>0</v>
      </c>
      <c r="E31" s="17" t="n">
        <f aca="false">E29*E30*0.5</f>
        <v>0</v>
      </c>
      <c r="F31" s="17" t="n">
        <f aca="false">F29*F30*0.5</f>
        <v>0</v>
      </c>
      <c r="G31" s="4" t="s">
        <v>47</v>
      </c>
    </row>
    <row r="32" customFormat="false" ht="15" hidden="false" customHeight="true" outlineLevel="0" collapsed="false">
      <c r="A32" s="8" t="s">
        <v>48</v>
      </c>
      <c r="B32" s="16" t="n">
        <v>0</v>
      </c>
      <c r="C32" s="17" t="n">
        <f aca="false">B31</f>
        <v>0</v>
      </c>
      <c r="D32" s="17" t="n">
        <f aca="false">C31</f>
        <v>0</v>
      </c>
      <c r="E32" s="17" t="n">
        <f aca="false">D31</f>
        <v>0</v>
      </c>
      <c r="F32" s="17" t="n">
        <f aca="false">E31</f>
        <v>0</v>
      </c>
      <c r="G32" s="4" t="s">
        <v>49</v>
      </c>
    </row>
    <row r="33" customFormat="false" ht="15" hidden="false" customHeight="true" outlineLevel="0" collapsed="false">
      <c r="A33" s="8" t="s">
        <v>50</v>
      </c>
      <c r="B33" s="16" t="n">
        <v>500000</v>
      </c>
      <c r="C33" s="16" t="n">
        <v>200000</v>
      </c>
      <c r="D33" s="16" t="n">
        <v>0</v>
      </c>
      <c r="E33" s="16" t="n">
        <v>0</v>
      </c>
      <c r="F33" s="16" t="n">
        <v>0</v>
      </c>
      <c r="G33" s="4" t="s">
        <v>51</v>
      </c>
    </row>
    <row r="34" customFormat="false" ht="15" hidden="false" customHeight="true" outlineLevel="0" collapsed="false">
      <c r="A34" s="8" t="s">
        <v>52</v>
      </c>
      <c r="B34" s="10" t="n">
        <v>0.045</v>
      </c>
      <c r="C34" s="10" t="n">
        <v>0.045</v>
      </c>
      <c r="D34" s="10" t="n">
        <v>0.045</v>
      </c>
      <c r="E34" s="10" t="n">
        <v>0.045</v>
      </c>
      <c r="F34" s="10" t="n">
        <v>0.045</v>
      </c>
      <c r="G34" s="4" t="s">
        <v>53</v>
      </c>
    </row>
    <row r="35" customFormat="false" ht="15" hidden="false" customHeight="true" outlineLevel="0" collapsed="false">
      <c r="A35" s="8" t="s">
        <v>54</v>
      </c>
      <c r="B35" s="17" t="n">
        <f aca="false">B33*B34*0.5</f>
        <v>11250</v>
      </c>
      <c r="C35" s="17" t="n">
        <f aca="false">C33*C34*0.5</f>
        <v>4500</v>
      </c>
      <c r="D35" s="17" t="n">
        <f aca="false">D33*D34*0.5</f>
        <v>0</v>
      </c>
      <c r="E35" s="17" t="n">
        <f aca="false">E33*E34*0.5</f>
        <v>0</v>
      </c>
      <c r="F35" s="17" t="n">
        <f aca="false">F33*F34*0.5</f>
        <v>0</v>
      </c>
      <c r="G35" s="4" t="s">
        <v>55</v>
      </c>
    </row>
    <row r="36" customFormat="false" ht="15" hidden="false" customHeight="true" outlineLevel="0" collapsed="false">
      <c r="A36" s="8" t="s">
        <v>56</v>
      </c>
      <c r="B36" s="16" t="n">
        <v>0</v>
      </c>
      <c r="C36" s="17" t="n">
        <f aca="false">B36+B35*2</f>
        <v>22500</v>
      </c>
      <c r="D36" s="17" t="n">
        <f aca="false">C36+C35*2</f>
        <v>31500</v>
      </c>
      <c r="E36" s="17" t="n">
        <f aca="false">D36+D35*2</f>
        <v>31500</v>
      </c>
      <c r="F36" s="17" t="n">
        <f aca="false">E36+E35*2</f>
        <v>31500</v>
      </c>
      <c r="G36" s="4" t="s">
        <v>57</v>
      </c>
    </row>
    <row r="37" customFormat="false" ht="15" hidden="false" customHeight="true" outlineLevel="0" collapsed="false">
      <c r="A37" s="8" t="s">
        <v>58</v>
      </c>
      <c r="B37" s="10" t="n">
        <v>0.9</v>
      </c>
      <c r="C37" s="10" t="n">
        <v>0.9</v>
      </c>
      <c r="D37" s="10" t="n">
        <v>0.9</v>
      </c>
      <c r="E37" s="10" t="n">
        <v>0.9</v>
      </c>
      <c r="F37" s="10" t="n">
        <v>0.9</v>
      </c>
      <c r="G37" s="4" t="s">
        <v>59</v>
      </c>
    </row>
    <row r="39" customFormat="false" ht="15" hidden="false" customHeight="true" outlineLevel="0" collapsed="false">
      <c r="A39" s="6" t="s">
        <v>60</v>
      </c>
      <c r="B39" s="7"/>
      <c r="C39" s="7"/>
      <c r="D39" s="7"/>
      <c r="E39" s="7"/>
      <c r="F39" s="7"/>
      <c r="G39" s="7"/>
    </row>
    <row r="40" customFormat="false" ht="15" hidden="false" customHeight="true" outlineLevel="0" collapsed="false">
      <c r="A40" s="8" t="s">
        <v>61</v>
      </c>
      <c r="B40" s="10" t="n">
        <v>0.055</v>
      </c>
      <c r="C40" s="10" t="n">
        <v>0.055</v>
      </c>
      <c r="D40" s="10" t="n">
        <v>0.054</v>
      </c>
      <c r="E40" s="10" t="n">
        <v>0.054</v>
      </c>
      <c r="F40" s="10" t="n">
        <v>0.053</v>
      </c>
      <c r="G40" s="4" t="s">
        <v>62</v>
      </c>
    </row>
    <row r="41" customFormat="false" ht="15" hidden="false" customHeight="true" outlineLevel="0" collapsed="false">
      <c r="A41" s="8" t="s">
        <v>63</v>
      </c>
      <c r="B41" s="16" t="n">
        <v>10000</v>
      </c>
      <c r="C41" s="16" t="n">
        <v>10000</v>
      </c>
      <c r="D41" s="16" t="n">
        <v>10000</v>
      </c>
      <c r="E41" s="16" t="n">
        <v>10000</v>
      </c>
      <c r="F41" s="16" t="n">
        <v>10000</v>
      </c>
      <c r="G41" s="4" t="s">
        <v>64</v>
      </c>
    </row>
    <row r="42" customFormat="false" ht="15" hidden="false" customHeight="true" outlineLevel="0" collapsed="false">
      <c r="A42" s="8" t="s">
        <v>65</v>
      </c>
      <c r="B42" s="16" t="n">
        <v>15000</v>
      </c>
      <c r="C42" s="16" t="n">
        <v>5000</v>
      </c>
      <c r="D42" s="16" t="n">
        <v>0</v>
      </c>
      <c r="E42" s="16" t="n">
        <v>0</v>
      </c>
      <c r="F42" s="16" t="n">
        <v>0</v>
      </c>
      <c r="G42" s="4" t="s">
        <v>66</v>
      </c>
    </row>
    <row r="44" customFormat="false" ht="15" hidden="false" customHeight="true" outlineLevel="0" collapsed="false">
      <c r="A44" s="6" t="s">
        <v>67</v>
      </c>
      <c r="B44" s="7"/>
      <c r="C44" s="7"/>
      <c r="D44" s="7"/>
      <c r="E44" s="7"/>
      <c r="F44" s="7"/>
      <c r="G44" s="7"/>
    </row>
    <row r="45" customFormat="false" ht="15" hidden="false" customHeight="true" outlineLevel="0" collapsed="false">
      <c r="A45" s="8" t="s">
        <v>68</v>
      </c>
      <c r="B45" s="16" t="n">
        <v>5633601</v>
      </c>
      <c r="C45" s="16" t="n">
        <v>5533601</v>
      </c>
      <c r="D45" s="16" t="n">
        <v>5433601</v>
      </c>
      <c r="E45" s="16" t="n">
        <v>5383601</v>
      </c>
      <c r="F45" s="16" t="n">
        <v>5333601</v>
      </c>
      <c r="G45" s="4" t="s">
        <v>69</v>
      </c>
    </row>
    <row r="46" customFormat="false" ht="15" hidden="false" customHeight="true" outlineLevel="0" collapsed="false">
      <c r="A46" s="8" t="s">
        <v>70</v>
      </c>
      <c r="B46" s="16" t="n">
        <v>777021</v>
      </c>
      <c r="C46" s="16" t="n">
        <v>600000</v>
      </c>
      <c r="D46" s="16" t="n">
        <v>500000</v>
      </c>
      <c r="E46" s="16" t="n">
        <v>500000</v>
      </c>
      <c r="F46" s="16" t="n">
        <v>500000</v>
      </c>
      <c r="G46" s="4" t="s">
        <v>71</v>
      </c>
    </row>
    <row r="47" customFormat="false" ht="15" hidden="false" customHeight="true" outlineLevel="0" collapsed="false">
      <c r="A47" s="8" t="s">
        <v>72</v>
      </c>
      <c r="B47" s="18" t="n">
        <v>0.028</v>
      </c>
      <c r="C47" s="18" t="n">
        <v>0.03</v>
      </c>
      <c r="D47" s="18" t="n">
        <v>0.032</v>
      </c>
      <c r="E47" s="18" t="n">
        <v>0.033</v>
      </c>
      <c r="F47" s="18" t="n">
        <v>0.034</v>
      </c>
      <c r="G47" s="4" t="s">
        <v>73</v>
      </c>
    </row>
    <row r="48" customFormat="false" ht="15" hidden="false" customHeight="true" outlineLevel="0" collapsed="false">
      <c r="A48" s="8" t="s">
        <v>74</v>
      </c>
      <c r="B48" s="18" t="n">
        <v>0.038</v>
      </c>
      <c r="C48" s="18" t="n">
        <v>0.038</v>
      </c>
      <c r="D48" s="18" t="n">
        <v>0.038</v>
      </c>
      <c r="E48" s="18" t="n">
        <v>0.038</v>
      </c>
      <c r="F48" s="18" t="n">
        <v>0.038</v>
      </c>
      <c r="G48" s="4" t="s">
        <v>75</v>
      </c>
    </row>
    <row r="49" customFormat="false" ht="15" hidden="false" customHeight="true" outlineLevel="0" collapsed="false">
      <c r="A49" s="8" t="s">
        <v>76</v>
      </c>
      <c r="B49" s="16" t="n">
        <v>150000</v>
      </c>
      <c r="C49" s="16" t="n">
        <v>150000</v>
      </c>
      <c r="D49" s="16" t="n">
        <v>150000</v>
      </c>
      <c r="E49" s="16" t="n">
        <v>150000</v>
      </c>
      <c r="F49" s="16" t="n">
        <v>150000</v>
      </c>
      <c r="G49" s="4" t="s">
        <v>77</v>
      </c>
    </row>
    <row r="50" customFormat="false" ht="15" hidden="false" customHeight="true" outlineLevel="0" collapsed="false">
      <c r="A50" s="8" t="s">
        <v>78</v>
      </c>
      <c r="B50" s="16" t="n">
        <v>0</v>
      </c>
      <c r="C50" s="16" t="n">
        <v>0</v>
      </c>
      <c r="D50" s="16" t="n">
        <v>0</v>
      </c>
      <c r="E50" s="16" t="n">
        <v>0</v>
      </c>
      <c r="F50" s="16" t="n">
        <v>0</v>
      </c>
      <c r="G50" s="4" t="s">
        <v>79</v>
      </c>
    </row>
    <row r="51" customFormat="false" ht="15" hidden="false" customHeight="true" outlineLevel="0" collapsed="false">
      <c r="A51" s="8" t="s">
        <v>80</v>
      </c>
      <c r="B51" s="17" t="n">
        <f aca="false">-B46*(B47-B48)</f>
        <v>7770.21</v>
      </c>
      <c r="C51" s="17" t="n">
        <f aca="false">-C46*(C47-C48)</f>
        <v>4800</v>
      </c>
      <c r="D51" s="17" t="n">
        <f aca="false">-D46*(D47-D48)</f>
        <v>3000</v>
      </c>
      <c r="E51" s="17" t="n">
        <f aca="false">-E46*(E47-E48)</f>
        <v>2500</v>
      </c>
      <c r="F51" s="17" t="n">
        <f aca="false">-F46*(F47-F48)</f>
        <v>2000</v>
      </c>
      <c r="G51" s="4" t="s">
        <v>81</v>
      </c>
    </row>
    <row r="52" customFormat="false" ht="15" hidden="false" customHeight="true" outlineLevel="0" collapsed="false">
      <c r="A52" s="8" t="s">
        <v>82</v>
      </c>
      <c r="B52" s="19" t="n">
        <f aca="false">0.0308-B51/B45</f>
        <v>0.0294207383163983</v>
      </c>
      <c r="C52" s="19" t="n">
        <f aca="false">0.0308-C51/C45</f>
        <v>0.0299325720810011</v>
      </c>
      <c r="D52" s="19" t="n">
        <f aca="false">0.0308-D51/D45</f>
        <v>0.0302478799602694</v>
      </c>
      <c r="E52" s="19" t="n">
        <f aca="false">0.0308-E51/E45</f>
        <v>0.0303356268044381</v>
      </c>
      <c r="F52" s="19" t="n">
        <f aca="false">0.0308-F51/F45</f>
        <v>0.030425018819368</v>
      </c>
      <c r="G52" s="4" t="s">
        <v>83</v>
      </c>
    </row>
    <row r="53" customFormat="false" ht="15" hidden="false" customHeight="true" outlineLevel="0" collapsed="false">
      <c r="A53" s="8" t="s">
        <v>84</v>
      </c>
      <c r="B53" s="17" t="n">
        <f aca="false">B45*B52</f>
        <v>165744.7008</v>
      </c>
      <c r="C53" s="17" t="n">
        <f aca="false">C45*C52</f>
        <v>165634.9108</v>
      </c>
      <c r="D53" s="17" t="n">
        <f aca="false">D45*D52</f>
        <v>164354.9108</v>
      </c>
      <c r="E53" s="17" t="n">
        <f aca="false">E45*E52</f>
        <v>163314.9108</v>
      </c>
      <c r="F53" s="17" t="n">
        <f aca="false">F45*F52</f>
        <v>162274.9108</v>
      </c>
      <c r="G53" s="4" t="s">
        <v>85</v>
      </c>
    </row>
    <row r="54" customFormat="false" ht="15" hidden="false" customHeight="true" outlineLevel="0" collapsed="false">
      <c r="A54" s="8" t="s">
        <v>86</v>
      </c>
      <c r="B54" s="17" t="n">
        <f aca="false">B45-B49+B50</f>
        <v>5483601</v>
      </c>
      <c r="C54" s="17" t="n">
        <f aca="false">C45-C49+C50</f>
        <v>5383601</v>
      </c>
      <c r="D54" s="17" t="n">
        <f aca="false">D45-D49+D50</f>
        <v>5283601</v>
      </c>
      <c r="E54" s="17" t="n">
        <f aca="false">E45-E49+E50</f>
        <v>5233601</v>
      </c>
      <c r="F54" s="17" t="n">
        <f aca="false">F45-F49+F50</f>
        <v>5183601</v>
      </c>
      <c r="G54" s="4" t="s">
        <v>87</v>
      </c>
    </row>
    <row r="55" customFormat="false" ht="15" hidden="false" customHeight="true" outlineLevel="0" collapsed="false">
      <c r="A55" s="8" t="s">
        <v>88</v>
      </c>
      <c r="B55" s="20" t="n">
        <f aca="false">B101</f>
        <v>246624.7841558</v>
      </c>
      <c r="C55" s="20" t="n">
        <f aca="false">C101</f>
        <v>304024.93896358</v>
      </c>
      <c r="D55" s="20" t="n">
        <f aca="false">D101</f>
        <v>515675.932595909</v>
      </c>
      <c r="E55" s="20" t="n">
        <f aca="false">E101</f>
        <v>721918.858811338</v>
      </c>
      <c r="F55" s="20" t="n">
        <f aca="false">F101</f>
        <v>920673.518684861</v>
      </c>
      <c r="G55" s="4" t="s">
        <v>89</v>
      </c>
    </row>
    <row r="56" customFormat="false" ht="15" hidden="false" customHeight="true" outlineLevel="0" collapsed="false">
      <c r="A56" s="8" t="s">
        <v>90</v>
      </c>
      <c r="B56" s="18" t="n">
        <v>0.055</v>
      </c>
      <c r="C56" s="18" t="n">
        <v>0.055</v>
      </c>
      <c r="D56" s="18" t="n">
        <v>0.055</v>
      </c>
      <c r="E56" s="18" t="n">
        <v>0.055</v>
      </c>
      <c r="F56" s="18" t="n">
        <v>0.055</v>
      </c>
      <c r="G56" s="4" t="s">
        <v>91</v>
      </c>
    </row>
    <row r="57" customFormat="false" ht="15" hidden="false" customHeight="true" outlineLevel="0" collapsed="false">
      <c r="A57" s="8" t="s">
        <v>92</v>
      </c>
      <c r="B57" s="17" t="n">
        <f aca="false">331250*B56</f>
        <v>18218.75</v>
      </c>
      <c r="C57" s="17" t="n">
        <f aca="false">B55*C56</f>
        <v>13564.363128569</v>
      </c>
      <c r="D57" s="17" t="n">
        <f aca="false">C55*D56</f>
        <v>16721.3716429969</v>
      </c>
      <c r="E57" s="17" t="n">
        <f aca="false">D55*E56</f>
        <v>28362.176292775</v>
      </c>
      <c r="F57" s="17" t="n">
        <f aca="false">E55*F56</f>
        <v>39705.5372346236</v>
      </c>
      <c r="G57" s="4" t="s">
        <v>93</v>
      </c>
    </row>
    <row r="58" customFormat="false" ht="15" hidden="false" customHeight="true" outlineLevel="0" collapsed="false">
      <c r="A58" s="8" t="s">
        <v>94</v>
      </c>
      <c r="B58" s="16" t="n">
        <v>2200</v>
      </c>
      <c r="C58" s="16" t="n">
        <v>2200</v>
      </c>
      <c r="D58" s="16" t="n">
        <v>2200</v>
      </c>
      <c r="E58" s="16" t="n">
        <v>2200</v>
      </c>
      <c r="F58" s="16" t="n">
        <v>2200</v>
      </c>
      <c r="G58" s="4" t="s">
        <v>95</v>
      </c>
    </row>
    <row r="60" customFormat="false" ht="15" hidden="false" customHeight="true" outlineLevel="0" collapsed="false">
      <c r="A60" s="6" t="s">
        <v>96</v>
      </c>
      <c r="B60" s="7"/>
      <c r="C60" s="7"/>
      <c r="D60" s="7"/>
      <c r="E60" s="7"/>
      <c r="F60" s="7"/>
      <c r="G60" s="7"/>
    </row>
    <row r="61" customFormat="false" ht="15" hidden="false" customHeight="true" outlineLevel="0" collapsed="false">
      <c r="A61" s="8" t="s">
        <v>97</v>
      </c>
      <c r="B61" s="21" t="n">
        <v>44000</v>
      </c>
      <c r="C61" s="21" t="n">
        <v>43500</v>
      </c>
      <c r="D61" s="21" t="n">
        <v>43500</v>
      </c>
      <c r="E61" s="21" t="n">
        <v>43500</v>
      </c>
      <c r="F61" s="21" t="n">
        <v>43500</v>
      </c>
      <c r="G61" s="4" t="s">
        <v>98</v>
      </c>
    </row>
    <row r="62" customFormat="false" ht="15" hidden="false" customHeight="true" outlineLevel="0" collapsed="false">
      <c r="A62" s="8" t="s">
        <v>99</v>
      </c>
      <c r="B62" s="13" t="n">
        <v>1350</v>
      </c>
      <c r="C62" s="13" t="n">
        <v>1350</v>
      </c>
      <c r="D62" s="13" t="n">
        <v>1350</v>
      </c>
      <c r="E62" s="13" t="n">
        <v>1350</v>
      </c>
      <c r="F62" s="13" t="n">
        <v>1350</v>
      </c>
      <c r="G62" s="4" t="s">
        <v>100</v>
      </c>
    </row>
    <row r="63" customFormat="false" ht="15" hidden="false" customHeight="true" outlineLevel="0" collapsed="false">
      <c r="A63" s="8" t="s">
        <v>101</v>
      </c>
      <c r="B63" s="17" t="n">
        <f aca="false">B61*B62/1000</f>
        <v>59400</v>
      </c>
      <c r="C63" s="17" t="n">
        <f aca="false">C61*C62/1000</f>
        <v>58725</v>
      </c>
      <c r="D63" s="17" t="n">
        <f aca="false">D61*D62/1000</f>
        <v>58725</v>
      </c>
      <c r="E63" s="17" t="n">
        <f aca="false">E61*E62/1000</f>
        <v>58725</v>
      </c>
      <c r="F63" s="17" t="n">
        <f aca="false">F61*F62/1000</f>
        <v>58725</v>
      </c>
      <c r="G63" s="4" t="s">
        <v>102</v>
      </c>
    </row>
    <row r="64" customFormat="false" ht="15" hidden="false" customHeight="true" outlineLevel="0" collapsed="false">
      <c r="A64" s="8" t="s">
        <v>103</v>
      </c>
      <c r="B64" s="16" t="n">
        <v>78000</v>
      </c>
      <c r="C64" s="16" t="n">
        <v>80000</v>
      </c>
      <c r="D64" s="16" t="n">
        <v>82000</v>
      </c>
      <c r="E64" s="16" t="n">
        <v>84000</v>
      </c>
      <c r="F64" s="16" t="n">
        <v>86000</v>
      </c>
      <c r="G64" s="4" t="s">
        <v>104</v>
      </c>
    </row>
    <row r="65" customFormat="false" ht="15" hidden="false" customHeight="true" outlineLevel="0" collapsed="false">
      <c r="A65" s="8" t="s">
        <v>105</v>
      </c>
      <c r="B65" s="16" t="n">
        <v>30000</v>
      </c>
      <c r="C65" s="16" t="n">
        <v>31000</v>
      </c>
      <c r="D65" s="16" t="n">
        <v>32000</v>
      </c>
      <c r="E65" s="16" t="n">
        <v>33000</v>
      </c>
      <c r="F65" s="16" t="n">
        <v>34000</v>
      </c>
      <c r="G65" s="4" t="s">
        <v>106</v>
      </c>
    </row>
    <row r="66" customFormat="false" ht="15" hidden="false" customHeight="true" outlineLevel="0" collapsed="false">
      <c r="A66" s="8" t="s">
        <v>107</v>
      </c>
      <c r="B66" s="16" t="n">
        <v>25000</v>
      </c>
      <c r="C66" s="16" t="n">
        <v>26000</v>
      </c>
      <c r="D66" s="16" t="n">
        <v>27000</v>
      </c>
      <c r="E66" s="16" t="n">
        <v>28000</v>
      </c>
      <c r="F66" s="16" t="n">
        <v>29000</v>
      </c>
      <c r="G66" s="4" t="s">
        <v>108</v>
      </c>
    </row>
    <row r="67" customFormat="false" ht="15" hidden="false" customHeight="true" outlineLevel="0" collapsed="false">
      <c r="A67" s="8" t="s">
        <v>109</v>
      </c>
      <c r="B67" s="16" t="n">
        <v>11000</v>
      </c>
      <c r="C67" s="16" t="n">
        <v>11500</v>
      </c>
      <c r="D67" s="16" t="n">
        <v>12000</v>
      </c>
      <c r="E67" s="16" t="n">
        <v>12500</v>
      </c>
      <c r="F67" s="16" t="n">
        <v>13000</v>
      </c>
      <c r="G67" s="4" t="s">
        <v>110</v>
      </c>
    </row>
    <row r="68" customFormat="false" ht="15" hidden="false" customHeight="true" outlineLevel="0" collapsed="false">
      <c r="A68" s="8" t="s">
        <v>111</v>
      </c>
      <c r="B68" s="22" t="n">
        <f aca="false">B63+B64+B65+B66+B67</f>
        <v>203400</v>
      </c>
      <c r="C68" s="22" t="n">
        <f aca="false">C63+C64+C65+C66+C67</f>
        <v>207225</v>
      </c>
      <c r="D68" s="22" t="n">
        <f aca="false">D63+D64+D65+D66+D67</f>
        <v>211725</v>
      </c>
      <c r="E68" s="22" t="n">
        <f aca="false">E63+E64+E65+E66+E67</f>
        <v>216225</v>
      </c>
      <c r="F68" s="22" t="n">
        <f aca="false">F63+F64+F65+F66+F67</f>
        <v>220725</v>
      </c>
    </row>
    <row r="69" customFormat="false" ht="15" hidden="false" customHeight="true" outlineLevel="0" collapsed="false">
      <c r="A69" s="8" t="s">
        <v>112</v>
      </c>
      <c r="B69" s="17" t="n">
        <f aca="false">B63+3800</f>
        <v>63200</v>
      </c>
      <c r="C69" s="17" t="n">
        <f aca="false">C63+3800</f>
        <v>62525</v>
      </c>
      <c r="D69" s="17" t="n">
        <f aca="false">D63+3800</f>
        <v>62525</v>
      </c>
      <c r="E69" s="17" t="n">
        <f aca="false">E63+3800</f>
        <v>62525</v>
      </c>
      <c r="F69" s="17" t="n">
        <f aca="false">F63+3800</f>
        <v>62525</v>
      </c>
      <c r="G69" s="4" t="s">
        <v>113</v>
      </c>
    </row>
    <row r="70" customFormat="false" ht="15" hidden="false" customHeight="true" outlineLevel="0" collapsed="false">
      <c r="A70" s="8" t="s">
        <v>114</v>
      </c>
      <c r="B70" s="14" t="n">
        <f aca="false">B68*1000/B61</f>
        <v>4622.72727272727</v>
      </c>
      <c r="C70" s="14" t="n">
        <f aca="false">C68*1000/C61</f>
        <v>4763.79310344828</v>
      </c>
      <c r="D70" s="14" t="n">
        <f aca="false">D68*1000/D61</f>
        <v>4867.24137931035</v>
      </c>
      <c r="E70" s="14" t="n">
        <f aca="false">E68*1000/E61</f>
        <v>4970.68965517241</v>
      </c>
      <c r="F70" s="14" t="n">
        <f aca="false">F68*1000/F61</f>
        <v>5074.13793103448</v>
      </c>
      <c r="G70" s="4" t="s">
        <v>115</v>
      </c>
    </row>
    <row r="72" customFormat="false" ht="15" hidden="false" customHeight="true" outlineLevel="0" collapsed="false">
      <c r="A72" s="6" t="s">
        <v>116</v>
      </c>
      <c r="B72" s="7"/>
      <c r="C72" s="7"/>
      <c r="D72" s="7"/>
      <c r="E72" s="7"/>
      <c r="F72" s="7"/>
      <c r="G72" s="7"/>
    </row>
    <row r="73" customFormat="false" ht="15" hidden="false" customHeight="true" outlineLevel="0" collapsed="false">
      <c r="A73" s="8" t="s">
        <v>117</v>
      </c>
      <c r="B73" s="21" t="n">
        <v>157694</v>
      </c>
      <c r="C73" s="23" t="n">
        <f aca="false">B79</f>
        <v>155930.974669913</v>
      </c>
      <c r="D73" s="23" t="n">
        <f aca="false">C79</f>
        <v>155930.974669913</v>
      </c>
      <c r="E73" s="23" t="n">
        <f aca="false">D79</f>
        <v>155930.974669913</v>
      </c>
      <c r="F73" s="23" t="n">
        <f aca="false">E79</f>
        <v>155930.974669913</v>
      </c>
      <c r="G73" s="4" t="s">
        <v>118</v>
      </c>
    </row>
    <row r="74" customFormat="false" ht="15" hidden="false" customHeight="true" outlineLevel="0" collapsed="false">
      <c r="A74" s="8" t="s">
        <v>119</v>
      </c>
      <c r="B74" s="24" t="n">
        <v>1.6</v>
      </c>
      <c r="C74" s="24" t="n">
        <v>1.6</v>
      </c>
      <c r="D74" s="24" t="n">
        <v>1.6</v>
      </c>
      <c r="E74" s="24" t="n">
        <v>1.6</v>
      </c>
      <c r="F74" s="24" t="n">
        <v>1.6</v>
      </c>
      <c r="G74" s="4" t="s">
        <v>120</v>
      </c>
    </row>
    <row r="75" customFormat="false" ht="15" hidden="false" customHeight="true" outlineLevel="0" collapsed="false">
      <c r="A75" s="8" t="s">
        <v>121</v>
      </c>
      <c r="B75" s="10" t="n">
        <v>0</v>
      </c>
      <c r="C75" s="10" t="n">
        <v>0</v>
      </c>
      <c r="D75" s="10" t="n">
        <v>0</v>
      </c>
      <c r="E75" s="10" t="n">
        <v>0</v>
      </c>
      <c r="F75" s="10" t="n">
        <v>0</v>
      </c>
      <c r="G75" s="4" t="s">
        <v>122</v>
      </c>
    </row>
    <row r="76" customFormat="false" ht="15" hidden="false" customHeight="true" outlineLevel="0" collapsed="false">
      <c r="A76" s="8" t="s">
        <v>123</v>
      </c>
      <c r="B76" s="25" t="n">
        <f aca="false">B99</f>
        <v>1763.0253300875</v>
      </c>
      <c r="C76" s="25" t="n">
        <f aca="false">C99</f>
        <v>0</v>
      </c>
      <c r="D76" s="25" t="n">
        <f aca="false">D99</f>
        <v>0</v>
      </c>
      <c r="E76" s="25" t="n">
        <f aca="false">E99</f>
        <v>0</v>
      </c>
      <c r="F76" s="25" t="n">
        <f aca="false">F99</f>
        <v>0</v>
      </c>
      <c r="G76" s="4" t="s">
        <v>124</v>
      </c>
    </row>
    <row r="77" customFormat="false" ht="15" hidden="false" customHeight="true" outlineLevel="0" collapsed="false">
      <c r="A77" s="8" t="s">
        <v>125</v>
      </c>
      <c r="B77" s="26" t="n">
        <v>48</v>
      </c>
      <c r="C77" s="26" t="n">
        <v>48</v>
      </c>
      <c r="D77" s="26" t="n">
        <v>48</v>
      </c>
      <c r="E77" s="26" t="n">
        <v>48</v>
      </c>
      <c r="F77" s="26" t="n">
        <v>48</v>
      </c>
      <c r="G77" s="4" t="s">
        <v>126</v>
      </c>
    </row>
    <row r="78" customFormat="false" ht="15" hidden="false" customHeight="true" outlineLevel="0" collapsed="false">
      <c r="A78" s="8" t="s">
        <v>127</v>
      </c>
      <c r="B78" s="10" t="n">
        <v>0.5</v>
      </c>
      <c r="C78" s="10" t="n">
        <v>0.5</v>
      </c>
      <c r="D78" s="10" t="n">
        <v>0.5</v>
      </c>
      <c r="E78" s="10" t="n">
        <v>0.5</v>
      </c>
      <c r="F78" s="10" t="n">
        <v>0.5</v>
      </c>
      <c r="G78" s="4" t="s">
        <v>128</v>
      </c>
    </row>
    <row r="79" customFormat="false" ht="15" hidden="false" customHeight="true" outlineLevel="0" collapsed="false">
      <c r="A79" s="8" t="s">
        <v>129</v>
      </c>
      <c r="B79" s="23" t="n">
        <f aca="false">B73-B76</f>
        <v>155930.974669913</v>
      </c>
      <c r="C79" s="23" t="n">
        <f aca="false">C73-C76</f>
        <v>155930.974669913</v>
      </c>
      <c r="D79" s="23" t="n">
        <f aca="false">D73-D76</f>
        <v>155930.974669913</v>
      </c>
      <c r="E79" s="23" t="n">
        <f aca="false">E73-E76</f>
        <v>155930.974669913</v>
      </c>
      <c r="F79" s="23" t="n">
        <f aca="false">F73-F76</f>
        <v>155930.974669913</v>
      </c>
      <c r="G79" s="4" t="s">
        <v>130</v>
      </c>
    </row>
    <row r="80" customFormat="false" ht="15" hidden="false" customHeight="true" outlineLevel="0" collapsed="false">
      <c r="A80" s="8" t="s">
        <v>131</v>
      </c>
      <c r="B80" s="23" t="n">
        <f aca="false">(B73+B79)/2</f>
        <v>156812.487334956</v>
      </c>
      <c r="C80" s="23" t="n">
        <f aca="false">(C73+C79)/2</f>
        <v>155930.974669913</v>
      </c>
      <c r="D80" s="23" t="n">
        <f aca="false">(D73+D79)/2</f>
        <v>155930.974669913</v>
      </c>
      <c r="E80" s="23" t="n">
        <f aca="false">(E73+E79)/2</f>
        <v>155930.974669913</v>
      </c>
      <c r="F80" s="23" t="n">
        <f aca="false">(F73+F79)/2</f>
        <v>155930.974669913</v>
      </c>
      <c r="G80" s="4" t="s">
        <v>132</v>
      </c>
    </row>
    <row r="82" customFormat="false" ht="15" hidden="false" customHeight="true" outlineLevel="0" collapsed="false">
      <c r="A82" s="6" t="s">
        <v>133</v>
      </c>
      <c r="B82" s="7"/>
      <c r="C82" s="7"/>
      <c r="D82" s="7"/>
      <c r="E82" s="7"/>
      <c r="F82" s="7"/>
      <c r="G82" s="7"/>
    </row>
    <row r="83" customFormat="false" ht="15" hidden="false" customHeight="true" outlineLevel="0" collapsed="false">
      <c r="A83" s="8" t="s">
        <v>134</v>
      </c>
      <c r="B83" s="18" t="n">
        <v>0.0425</v>
      </c>
      <c r="C83" s="18" t="n">
        <v>0.0425</v>
      </c>
      <c r="D83" s="18" t="n">
        <v>0.0425</v>
      </c>
      <c r="E83" s="18" t="n">
        <v>0.0425</v>
      </c>
      <c r="F83" s="18" t="n">
        <v>0.0425</v>
      </c>
      <c r="G83" s="4" t="s">
        <v>135</v>
      </c>
    </row>
    <row r="84" customFormat="false" ht="15" hidden="false" customHeight="true" outlineLevel="0" collapsed="false">
      <c r="A84" s="8" t="s">
        <v>136</v>
      </c>
      <c r="B84" s="26" t="n">
        <v>48</v>
      </c>
      <c r="C84" s="26" t="n">
        <v>48</v>
      </c>
      <c r="D84" s="26" t="n">
        <v>48</v>
      </c>
      <c r="E84" s="26" t="n">
        <v>48</v>
      </c>
      <c r="F84" s="26" t="n">
        <v>48</v>
      </c>
      <c r="G84" s="4" t="s">
        <v>137</v>
      </c>
    </row>
    <row r="86" customFormat="false" ht="15" hidden="false" customHeight="true" outlineLevel="0" collapsed="false">
      <c r="A86" s="6" t="s">
        <v>138</v>
      </c>
      <c r="B86" s="7"/>
      <c r="C86" s="7"/>
      <c r="D86" s="7"/>
      <c r="E86" s="7"/>
      <c r="F86" s="7"/>
      <c r="G86" s="7"/>
    </row>
    <row r="87" customFormat="false" ht="15" hidden="false" customHeight="true" outlineLevel="0" collapsed="false">
      <c r="A87" s="4" t="s">
        <v>139</v>
      </c>
    </row>
    <row r="88" customFormat="false" ht="15" hidden="false" customHeight="true" outlineLevel="0" collapsed="false">
      <c r="A88" s="8" t="s">
        <v>140</v>
      </c>
      <c r="B88" s="27" t="n">
        <f aca="false">IS!M33-IS!M17-IS!M18-IS!M16-5000</f>
        <v>573924.2824884</v>
      </c>
      <c r="C88" s="27" t="n">
        <f aca="false">IS!N33-IS!N17-IS!N18-IS!N16-5000</f>
        <v>573513.678592649</v>
      </c>
      <c r="D88" s="27" t="n">
        <f aca="false">IS!O33-IS!O17-IS!O18-IS!O16-5000</f>
        <v>585639.848282528</v>
      </c>
      <c r="E88" s="27" t="n">
        <f aca="false">IS!P33-IS!P17-IS!P18-IS!P16-5000</f>
        <v>606148.720349206</v>
      </c>
      <c r="F88" s="27" t="n">
        <f aca="false">IS!Q33-IS!Q17-IS!Q18-IS!Q16-5000</f>
        <v>628440.347632962</v>
      </c>
      <c r="G88" s="4" t="s">
        <v>141</v>
      </c>
    </row>
    <row r="89" customFormat="false" ht="15" hidden="false" customHeight="true" outlineLevel="0" collapsed="false">
      <c r="A89" s="8" t="s">
        <v>142</v>
      </c>
      <c r="B89" s="17" t="n">
        <f aca="false">-B53-B57</f>
        <v>-183963.4508</v>
      </c>
      <c r="C89" s="17" t="n">
        <f aca="false">-C53-C57</f>
        <v>-179199.273928569</v>
      </c>
      <c r="D89" s="17" t="n">
        <f aca="false">-D53-D57</f>
        <v>-181076.282442997</v>
      </c>
      <c r="E89" s="17" t="n">
        <f aca="false">-E53-E57</f>
        <v>-191677.087092775</v>
      </c>
      <c r="F89" s="17" t="n">
        <f aca="false">-F53-F57</f>
        <v>-201980.448034624</v>
      </c>
      <c r="G89" s="4" t="s">
        <v>143</v>
      </c>
    </row>
    <row r="90" customFormat="false" ht="15" hidden="false" customHeight="true" outlineLevel="0" collapsed="false">
      <c r="A90" s="8" t="s">
        <v>144</v>
      </c>
      <c r="B90" s="17" t="n">
        <f aca="false">-B26</f>
        <v>-60000</v>
      </c>
      <c r="C90" s="17" t="n">
        <f aca="false">-C26</f>
        <v>-20000</v>
      </c>
      <c r="D90" s="17" t="n">
        <f aca="false">-D26</f>
        <v>-0</v>
      </c>
      <c r="E90" s="17" t="n">
        <f aca="false">-E26</f>
        <v>-0</v>
      </c>
      <c r="F90" s="17" t="n">
        <f aca="false">-F26</f>
        <v>-0</v>
      </c>
    </row>
    <row r="91" customFormat="false" ht="15" hidden="false" customHeight="true" outlineLevel="0" collapsed="false">
      <c r="A91" s="8" t="s">
        <v>145</v>
      </c>
      <c r="B91" s="17" t="n">
        <f aca="false">B33*B37</f>
        <v>450000</v>
      </c>
      <c r="C91" s="17" t="n">
        <f aca="false">C33*C37</f>
        <v>180000</v>
      </c>
      <c r="D91" s="17" t="n">
        <f aca="false">D33*D37</f>
        <v>0</v>
      </c>
      <c r="E91" s="17" t="n">
        <f aca="false">E33*E37</f>
        <v>0</v>
      </c>
      <c r="F91" s="17" t="n">
        <f aca="false">F33*F37</f>
        <v>0</v>
      </c>
    </row>
    <row r="92" customFormat="false" ht="15" hidden="false" customHeight="true" outlineLevel="0" collapsed="false">
      <c r="A92" s="8" t="s">
        <v>146</v>
      </c>
      <c r="B92" s="17" t="n">
        <f aca="false">-B29</f>
        <v>-0</v>
      </c>
      <c r="C92" s="17" t="n">
        <f aca="false">-C29</f>
        <v>-0</v>
      </c>
      <c r="D92" s="17" t="n">
        <f aca="false">-D29</f>
        <v>-0</v>
      </c>
      <c r="E92" s="17" t="n">
        <f aca="false">-E29</f>
        <v>-0</v>
      </c>
      <c r="F92" s="17" t="n">
        <f aca="false">-F29</f>
        <v>-0</v>
      </c>
    </row>
    <row r="93" customFormat="false" ht="15" hidden="false" customHeight="true" outlineLevel="0" collapsed="false">
      <c r="A93" s="8" t="s">
        <v>147</v>
      </c>
      <c r="B93" s="17" t="n">
        <f aca="false">-B68</f>
        <v>-203400</v>
      </c>
      <c r="C93" s="17" t="n">
        <f aca="false">-C68</f>
        <v>-207225</v>
      </c>
      <c r="D93" s="17" t="n">
        <f aca="false">-D68</f>
        <v>-211725</v>
      </c>
      <c r="E93" s="17" t="n">
        <f aca="false">-E68</f>
        <v>-216225</v>
      </c>
      <c r="F93" s="17" t="n">
        <f aca="false">-F68</f>
        <v>-220725</v>
      </c>
    </row>
    <row r="94" customFormat="false" ht="15" hidden="false" customHeight="true" outlineLevel="0" collapsed="false">
      <c r="A94" s="8" t="s">
        <v>148</v>
      </c>
      <c r="B94" s="17" t="n">
        <f aca="false">-B49</f>
        <v>-150000</v>
      </c>
      <c r="C94" s="17" t="n">
        <f aca="false">-C49</f>
        <v>-150000</v>
      </c>
      <c r="D94" s="17" t="n">
        <f aca="false">-D49</f>
        <v>-150000</v>
      </c>
      <c r="E94" s="17" t="n">
        <f aca="false">-E49</f>
        <v>-150000</v>
      </c>
      <c r="F94" s="17" t="n">
        <f aca="false">-F49</f>
        <v>-150000</v>
      </c>
    </row>
    <row r="95" customFormat="false" ht="15" hidden="false" customHeight="true" outlineLevel="0" collapsed="false">
      <c r="A95" s="8" t="s">
        <v>149</v>
      </c>
      <c r="B95" s="17" t="n">
        <f aca="false">-B73*B74*(1-B75)</f>
        <v>-252310.4</v>
      </c>
      <c r="C95" s="17" t="n">
        <f aca="false">-C73*C74*(1-C75)</f>
        <v>-249489.55947186</v>
      </c>
      <c r="D95" s="17" t="n">
        <f aca="false">-D73*D74*(1-D75)</f>
        <v>-249489.55947186</v>
      </c>
      <c r="E95" s="17" t="n">
        <f aca="false">-E73*E74*(1-E75)</f>
        <v>-249489.55947186</v>
      </c>
      <c r="F95" s="17" t="n">
        <f aca="false">-F73*F74*(1-F75)</f>
        <v>-249489.55947186</v>
      </c>
      <c r="G95" s="4" t="s">
        <v>150</v>
      </c>
    </row>
    <row r="96" customFormat="false" ht="15" hidden="false" customHeight="true" outlineLevel="0" collapsed="false">
      <c r="A96" s="8" t="s">
        <v>151</v>
      </c>
      <c r="B96" s="16" t="n">
        <v>-5000</v>
      </c>
      <c r="C96" s="16" t="n">
        <v>-5000</v>
      </c>
      <c r="D96" s="16" t="n">
        <v>-5000</v>
      </c>
      <c r="E96" s="16" t="n">
        <v>-5000</v>
      </c>
      <c r="F96" s="16" t="n">
        <v>-5000</v>
      </c>
      <c r="G96" s="4" t="s">
        <v>152</v>
      </c>
    </row>
    <row r="97" customFormat="false" ht="15" hidden="false" customHeight="true" outlineLevel="0" collapsed="false">
      <c r="A97" s="8" t="s">
        <v>153</v>
      </c>
      <c r="B97" s="22" t="n">
        <f aca="false">B88+B89+B90+B91+B92+B93+B94+B95+B96</f>
        <v>169250.4316884</v>
      </c>
      <c r="C97" s="22" t="n">
        <f aca="false">C88+C89+C90+C91+C92+C93+C94+C95+C96</f>
        <v>-57400.1548077798</v>
      </c>
      <c r="D97" s="22" t="n">
        <f aca="false">D88+D89+D90+D91+D92+D93+D94+D95+D96</f>
        <v>-211650.993632329</v>
      </c>
      <c r="E97" s="22" t="n">
        <f aca="false">E88+E89+E90+E91+E92+E93+E94+E95+E96</f>
        <v>-206242.926215429</v>
      </c>
      <c r="F97" s="22" t="n">
        <f aca="false">F88+F89+F90+F91+F92+F93+F94+F95+F96</f>
        <v>-198754.659873522</v>
      </c>
    </row>
    <row r="98" customFormat="false" ht="15" hidden="false" customHeight="true" outlineLevel="0" collapsed="false">
      <c r="A98" s="8" t="s">
        <v>154</v>
      </c>
      <c r="B98" s="17" t="n">
        <f aca="false">MAX(0,B97*B78)</f>
        <v>84625.2158442</v>
      </c>
      <c r="C98" s="17" t="n">
        <f aca="false">MAX(0,C97*C78)</f>
        <v>0</v>
      </c>
      <c r="D98" s="17" t="n">
        <f aca="false">MAX(0,D97*D78)</f>
        <v>0</v>
      </c>
      <c r="E98" s="17" t="n">
        <f aca="false">MAX(0,E97*E78)</f>
        <v>0</v>
      </c>
      <c r="F98" s="17" t="n">
        <f aca="false">MAX(0,F97*F78)</f>
        <v>0</v>
      </c>
      <c r="G98" s="4" t="s">
        <v>155</v>
      </c>
    </row>
    <row r="99" customFormat="false" ht="15" hidden="false" customHeight="true" outlineLevel="0" collapsed="false">
      <c r="A99" s="8" t="s">
        <v>156</v>
      </c>
      <c r="B99" s="23" t="n">
        <f aca="false">B98/B77</f>
        <v>1763.0253300875</v>
      </c>
      <c r="C99" s="23" t="n">
        <f aca="false">C98/C77</f>
        <v>0</v>
      </c>
      <c r="D99" s="23" t="n">
        <f aca="false">D98/D77</f>
        <v>0</v>
      </c>
      <c r="E99" s="23" t="n">
        <f aca="false">E98/E77</f>
        <v>0</v>
      </c>
      <c r="F99" s="23" t="n">
        <f aca="false">F98/F77</f>
        <v>0</v>
      </c>
    </row>
    <row r="100" customFormat="false" ht="15" hidden="false" customHeight="true" outlineLevel="0" collapsed="false">
      <c r="A100" s="8" t="s">
        <v>157</v>
      </c>
      <c r="B100" s="17" t="n">
        <f aca="false">-B97+B98</f>
        <v>-84625.2158442</v>
      </c>
      <c r="C100" s="17" t="n">
        <f aca="false">-C97+C98</f>
        <v>57400.1548077798</v>
      </c>
      <c r="D100" s="17" t="n">
        <f aca="false">-D97+D98</f>
        <v>211650.993632329</v>
      </c>
      <c r="E100" s="17" t="n">
        <f aca="false">-E97+E98</f>
        <v>206242.926215429</v>
      </c>
      <c r="F100" s="17" t="n">
        <f aca="false">-F97+F98</f>
        <v>198754.659873522</v>
      </c>
      <c r="G100" s="4" t="s">
        <v>158</v>
      </c>
    </row>
    <row r="101" customFormat="false" ht="15" hidden="false" customHeight="true" outlineLevel="0" collapsed="false">
      <c r="A101" s="8" t="s">
        <v>159</v>
      </c>
      <c r="B101" s="17" t="n">
        <f aca="false">331250+B100</f>
        <v>246624.7841558</v>
      </c>
      <c r="C101" s="17" t="n">
        <f aca="false">B101+C100</f>
        <v>304024.93896358</v>
      </c>
      <c r="D101" s="17" t="n">
        <f aca="false">C101+D100</f>
        <v>515675.932595909</v>
      </c>
      <c r="E101" s="17" t="n">
        <f aca="false">D101+E100</f>
        <v>721918.858811338</v>
      </c>
      <c r="F101" s="17" t="n">
        <f aca="false">E101+F100</f>
        <v>920673.518684861</v>
      </c>
      <c r="G101" s="4" t="s">
        <v>160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A1:L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12" min="2" style="1" width="14"/>
  </cols>
  <sheetData>
    <row r="1" customFormat="false" ht="1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439</v>
      </c>
    </row>
    <row r="3" customFormat="false" ht="15" hidden="false" customHeight="true" outlineLevel="0" collapsed="false">
      <c r="A3" s="4" t="s">
        <v>440</v>
      </c>
    </row>
    <row r="5" customFormat="false" ht="15" hidden="false" customHeight="true" outlineLevel="0" collapsed="false">
      <c r="B5" s="5" t="s">
        <v>233</v>
      </c>
      <c r="C5" s="5" t="s">
        <v>234</v>
      </c>
      <c r="D5" s="5" t="s">
        <v>235</v>
      </c>
      <c r="E5" s="5" t="s">
        <v>236</v>
      </c>
      <c r="F5" s="5" t="s">
        <v>237</v>
      </c>
      <c r="G5" s="5" t="s">
        <v>238</v>
      </c>
      <c r="H5" s="5" t="s">
        <v>239</v>
      </c>
      <c r="I5" s="5" t="s">
        <v>240</v>
      </c>
      <c r="J5" s="5" t="s">
        <v>241</v>
      </c>
      <c r="K5" s="5" t="s">
        <v>242</v>
      </c>
      <c r="L5" s="5" t="s">
        <v>243</v>
      </c>
    </row>
    <row r="7" customFormat="false" ht="15" hidden="false" customHeight="true" outlineLevel="0" collapsed="false">
      <c r="A7" s="58" t="s">
        <v>441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customFormat="false" ht="15" hidden="false" customHeight="true" outlineLevel="0" collapsed="false">
      <c r="A8" s="8" t="s">
        <v>442</v>
      </c>
      <c r="B8" s="35" t="n">
        <v>3097773</v>
      </c>
      <c r="C8" s="35" t="n">
        <v>3492923</v>
      </c>
      <c r="D8" s="35" t="n">
        <v>3581501</v>
      </c>
      <c r="E8" s="35" t="n">
        <v>3728333</v>
      </c>
      <c r="F8" s="35" t="n">
        <v>4308572</v>
      </c>
      <c r="G8" s="35" t="n">
        <v>5401202</v>
      </c>
      <c r="H8" s="35" t="n">
        <v>6100065</v>
      </c>
      <c r="I8" s="35" t="n">
        <v>6577097</v>
      </c>
      <c r="J8" s="35" t="n">
        <v>6653988</v>
      </c>
      <c r="K8" s="35" t="n">
        <v>5987869</v>
      </c>
      <c r="L8" s="35" t="n">
        <v>5633601</v>
      </c>
    </row>
    <row r="9" customFormat="false" ht="15" hidden="false" customHeight="true" outlineLevel="0" collapsed="false">
      <c r="A9" s="8" t="s">
        <v>443</v>
      </c>
      <c r="B9" s="62" t="n">
        <v>0.0339</v>
      </c>
      <c r="C9" s="62" t="n">
        <v>0.032</v>
      </c>
      <c r="D9" s="62" t="n">
        <v>0.0302</v>
      </c>
      <c r="E9" s="62" t="n">
        <v>0.0305</v>
      </c>
      <c r="F9" s="62" t="n">
        <v>0.0278</v>
      </c>
      <c r="G9" s="62" t="n">
        <v>0.0256</v>
      </c>
      <c r="H9" s="62" t="n">
        <v>0.0247</v>
      </c>
      <c r="I9" s="62" t="n">
        <v>0.0261</v>
      </c>
      <c r="J9" s="62" t="n">
        <v>0.029</v>
      </c>
      <c r="K9" s="62" t="n">
        <v>0.0299</v>
      </c>
      <c r="L9" s="62" t="n">
        <v>0.0308</v>
      </c>
    </row>
    <row r="11" customFormat="false" ht="15" hidden="false" customHeight="true" outlineLevel="0" collapsed="false">
      <c r="A11" s="58" t="s">
        <v>444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customFormat="false" ht="15" hidden="false" customHeight="true" outlineLevel="0" collapsed="false">
      <c r="A12" s="8" t="s">
        <v>445</v>
      </c>
      <c r="B12" s="35" t="n">
        <v>84890</v>
      </c>
      <c r="C12" s="35" t="n">
        <v>102522</v>
      </c>
      <c r="D12" s="35" t="n">
        <v>119458</v>
      </c>
      <c r="E12" s="35" t="n">
        <v>116877</v>
      </c>
      <c r="F12" s="35" t="n">
        <v>125902</v>
      </c>
      <c r="G12" s="35" t="n">
        <v>136087</v>
      </c>
      <c r="H12" s="35" t="n">
        <v>149996</v>
      </c>
      <c r="I12" s="35" t="n">
        <v>162048</v>
      </c>
      <c r="J12" s="35" t="n">
        <v>153793</v>
      </c>
      <c r="K12" s="35" t="n">
        <v>153237</v>
      </c>
      <c r="L12" s="35" t="n">
        <v>145099</v>
      </c>
    </row>
    <row r="13" customFormat="false" ht="15" hidden="false" customHeight="true" outlineLevel="0" collapsed="false">
      <c r="A13" s="8" t="s">
        <v>446</v>
      </c>
      <c r="B13" s="35" t="n">
        <v>143328</v>
      </c>
      <c r="C13" s="35" t="n">
        <v>130810</v>
      </c>
      <c r="D13" s="35" t="n">
        <v>266575</v>
      </c>
      <c r="E13" s="35" t="n">
        <v>103734</v>
      </c>
      <c r="F13" s="35" t="n">
        <v>232336</v>
      </c>
      <c r="G13" s="35" t="n">
        <v>353966</v>
      </c>
      <c r="H13" s="35" t="n">
        <v>521375</v>
      </c>
      <c r="I13" s="35" t="n">
        <v>479349</v>
      </c>
      <c r="J13" s="35" t="n">
        <v>425476</v>
      </c>
      <c r="K13" s="35" t="n">
        <v>516965</v>
      </c>
      <c r="L13" s="35" t="n">
        <v>546267</v>
      </c>
    </row>
    <row r="14" customFormat="false" ht="15" hidden="false" customHeight="true" outlineLevel="0" collapsed="false">
      <c r="A14" s="8" t="s">
        <v>447</v>
      </c>
      <c r="B14" s="35" t="n">
        <v>808976</v>
      </c>
      <c r="C14" s="35" t="n">
        <v>635768</v>
      </c>
      <c r="D14" s="35" t="n">
        <v>464516</v>
      </c>
      <c r="E14" s="35" t="n">
        <v>391234</v>
      </c>
      <c r="F14" s="35" t="n">
        <v>828507</v>
      </c>
      <c r="G14" s="35" t="n">
        <v>1529964</v>
      </c>
      <c r="H14" s="35" t="n">
        <v>1340965</v>
      </c>
      <c r="I14" s="35" t="n">
        <v>700584</v>
      </c>
      <c r="J14" s="35" t="n">
        <v>709048</v>
      </c>
      <c r="K14" s="35" t="n">
        <v>415587</v>
      </c>
      <c r="L14" s="35" t="n">
        <v>594972</v>
      </c>
    </row>
    <row r="15" customFormat="false" ht="15" hidden="false" customHeight="true" outlineLevel="0" collapsed="false">
      <c r="A15" s="8" t="s">
        <v>448</v>
      </c>
      <c r="B15" s="43" t="n">
        <v>0.989</v>
      </c>
      <c r="C15" s="43" t="n">
        <v>0.979</v>
      </c>
      <c r="D15" s="43" t="n">
        <v>0.97</v>
      </c>
      <c r="E15" s="43" t="n">
        <v>0.975</v>
      </c>
      <c r="F15" s="43" t="n">
        <v>0.983</v>
      </c>
      <c r="G15" s="43" t="n">
        <v>0.987</v>
      </c>
      <c r="H15" s="43" t="n">
        <v>0.985</v>
      </c>
      <c r="I15" s="43" t="n">
        <v>0.983</v>
      </c>
      <c r="J15" s="43" t="n">
        <v>0.985</v>
      </c>
      <c r="K15" s="43" t="n">
        <v>0.977</v>
      </c>
      <c r="L15" s="43" t="n">
        <v>0.983</v>
      </c>
    </row>
    <row r="16" customFormat="false" ht="15" hidden="false" customHeight="true" outlineLevel="0" collapsed="false">
      <c r="A16" s="8" t="s">
        <v>449</v>
      </c>
      <c r="B16" s="63" t="n">
        <v>6.3</v>
      </c>
      <c r="C16" s="63" t="n">
        <v>6.1</v>
      </c>
      <c r="D16" s="63" t="n">
        <v>5.7</v>
      </c>
      <c r="E16" s="63" t="n">
        <v>5.2</v>
      </c>
      <c r="F16" s="63" t="n">
        <v>5.5</v>
      </c>
      <c r="G16" s="63" t="n">
        <v>5.9</v>
      </c>
      <c r="H16" s="63" t="n">
        <v>5.7</v>
      </c>
      <c r="I16" s="63" t="n">
        <v>4.9</v>
      </c>
      <c r="J16" s="63" t="n">
        <v>4.8</v>
      </c>
      <c r="K16" s="63" t="n">
        <v>5</v>
      </c>
      <c r="L16" s="63" t="n">
        <v>4.8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L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12" min="2" style="1" width="14"/>
  </cols>
  <sheetData>
    <row r="1" customFormat="false" ht="1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450</v>
      </c>
    </row>
    <row r="3" customFormat="false" ht="15" hidden="false" customHeight="true" outlineLevel="0" collapsed="false">
      <c r="A3" s="4" t="s">
        <v>451</v>
      </c>
    </row>
    <row r="5" customFormat="false" ht="15" hidden="false" customHeight="true" outlineLevel="0" collapsed="false">
      <c r="B5" s="5" t="s">
        <v>233</v>
      </c>
      <c r="C5" s="5" t="s">
        <v>234</v>
      </c>
      <c r="D5" s="5" t="s">
        <v>235</v>
      </c>
      <c r="E5" s="5" t="s">
        <v>236</v>
      </c>
      <c r="F5" s="5" t="s">
        <v>237</v>
      </c>
      <c r="G5" s="5" t="s">
        <v>238</v>
      </c>
      <c r="H5" s="5" t="s">
        <v>239</v>
      </c>
      <c r="I5" s="5" t="s">
        <v>240</v>
      </c>
      <c r="J5" s="5" t="s">
        <v>241</v>
      </c>
      <c r="K5" s="5" t="s">
        <v>242</v>
      </c>
      <c r="L5" s="5" t="s">
        <v>243</v>
      </c>
    </row>
    <row r="7" customFormat="false" ht="15" hidden="false" customHeight="true" outlineLevel="0" collapsed="false">
      <c r="A7" s="58" t="s">
        <v>452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customFormat="false" ht="15" hidden="false" customHeight="true" outlineLevel="0" collapsed="false">
      <c r="A8" s="8" t="s">
        <v>140</v>
      </c>
      <c r="B8" s="35" t="n">
        <v>292824</v>
      </c>
      <c r="C8" s="35" t="n">
        <v>361358</v>
      </c>
      <c r="D8" s="35" t="n">
        <v>358941</v>
      </c>
      <c r="E8" s="35" t="n">
        <v>431177</v>
      </c>
      <c r="F8" s="35" t="n">
        <v>454629</v>
      </c>
      <c r="G8" s="35" t="n">
        <v>481356</v>
      </c>
      <c r="H8" s="35" t="n">
        <v>551433</v>
      </c>
      <c r="I8" s="35" t="n">
        <v>598027</v>
      </c>
      <c r="J8" s="35" t="n">
        <v>615919</v>
      </c>
      <c r="K8" s="35" t="n">
        <v>648845</v>
      </c>
      <c r="L8" s="35" t="n">
        <v>568824</v>
      </c>
    </row>
    <row r="9" customFormat="false" ht="15" hidden="false" customHeight="true" outlineLevel="0" collapsed="false">
      <c r="A9" s="8" t="s">
        <v>453</v>
      </c>
      <c r="B9" s="35" t="n">
        <v>665648</v>
      </c>
      <c r="C9" s="35" t="n">
        <v>504958</v>
      </c>
      <c r="D9" s="35" t="n">
        <v>197941</v>
      </c>
      <c r="E9" s="35" t="n">
        <v>287500</v>
      </c>
      <c r="F9" s="35" t="n">
        <v>596171</v>
      </c>
      <c r="G9" s="35" t="n">
        <v>1175998</v>
      </c>
      <c r="H9" s="35" t="n">
        <v>819590</v>
      </c>
      <c r="I9" s="35" t="n">
        <v>221235</v>
      </c>
      <c r="J9" s="35" t="n">
        <v>283572</v>
      </c>
      <c r="K9" s="35" t="n">
        <v>-101378</v>
      </c>
      <c r="L9" s="35" t="n">
        <v>48705</v>
      </c>
    </row>
    <row r="10" customFormat="false" ht="15" hidden="false" customHeight="true" outlineLevel="0" collapsed="false">
      <c r="A10" s="8" t="s">
        <v>454</v>
      </c>
      <c r="B10" s="35" t="n">
        <v>54644</v>
      </c>
      <c r="C10" s="35" t="n">
        <v>-141803</v>
      </c>
      <c r="D10" s="35" t="n">
        <v>427925</v>
      </c>
      <c r="E10" s="35" t="n">
        <v>85981</v>
      </c>
      <c r="F10" s="35" t="n">
        <v>87000</v>
      </c>
      <c r="G10" s="35" t="n">
        <v>-498783</v>
      </c>
      <c r="H10" s="35" t="n">
        <v>189305</v>
      </c>
      <c r="I10" s="35" t="n">
        <v>63832</v>
      </c>
      <c r="J10" s="35" t="n">
        <v>-2076</v>
      </c>
      <c r="K10" s="35" t="n">
        <v>-397588</v>
      </c>
      <c r="L10" s="35" t="n">
        <v>327105</v>
      </c>
    </row>
    <row r="11" customFormat="false" ht="15" hidden="false" customHeight="true" outlineLevel="0" collapsed="false">
      <c r="A11" s="8" t="s">
        <v>455</v>
      </c>
      <c r="B11" s="35" t="n">
        <v>401154</v>
      </c>
      <c r="C11" s="35" t="n">
        <v>161914</v>
      </c>
      <c r="D11" s="35" t="n">
        <v>150267</v>
      </c>
      <c r="E11" s="35" t="n">
        <v>85689</v>
      </c>
      <c r="F11" s="35" t="n">
        <v>308870</v>
      </c>
      <c r="G11" s="35" t="n">
        <v>148651</v>
      </c>
      <c r="H11" s="35" t="n">
        <v>87395</v>
      </c>
      <c r="I11" s="35" t="n">
        <v>3804</v>
      </c>
      <c r="J11" s="35" t="n">
        <v>2744</v>
      </c>
      <c r="K11" s="35" t="n">
        <v>2904</v>
      </c>
      <c r="L11" s="35" t="n">
        <v>1684</v>
      </c>
    </row>
    <row r="12" customFormat="false" ht="15" hidden="false" customHeight="true" outlineLevel="0" collapsed="false">
      <c r="A12" s="8" t="s">
        <v>456</v>
      </c>
      <c r="B12" s="35" t="n">
        <v>24004</v>
      </c>
      <c r="C12" s="35" t="n">
        <v>31321</v>
      </c>
      <c r="D12" s="35" t="n">
        <v>16734</v>
      </c>
      <c r="E12" s="35" t="n">
        <v>81872</v>
      </c>
      <c r="F12" s="35" t="n">
        <v>0</v>
      </c>
      <c r="G12" s="35" t="n">
        <v>33312</v>
      </c>
      <c r="H12" s="35" t="n">
        <v>29194</v>
      </c>
      <c r="I12" s="35" t="n">
        <v>306949</v>
      </c>
      <c r="J12" s="35" t="n">
        <v>373676</v>
      </c>
      <c r="K12" s="35" t="n">
        <v>2135419</v>
      </c>
      <c r="L12" s="35" t="n">
        <v>1108340</v>
      </c>
    </row>
    <row r="13" customFormat="false" ht="15" hidden="false" customHeight="true" outlineLevel="0" collapsed="false">
      <c r="A13" s="47" t="s">
        <v>457</v>
      </c>
      <c r="B13" s="48" t="n">
        <f aca="false">B8+B9+B10+B11+B12</f>
        <v>1438274</v>
      </c>
      <c r="C13" s="48" t="n">
        <f aca="false">C8+C9+C10+C11+C12</f>
        <v>917748</v>
      </c>
      <c r="D13" s="48" t="n">
        <f aca="false">D8+D9+D10+D11+D12</f>
        <v>1151808</v>
      </c>
      <c r="E13" s="48" t="n">
        <f aca="false">E8+E9+E10+E11+E12</f>
        <v>972219</v>
      </c>
      <c r="F13" s="48" t="n">
        <f aca="false">F8+F9+F10+F11+F12</f>
        <v>1446670</v>
      </c>
      <c r="G13" s="48" t="n">
        <f aca="false">G8+G9+G10+G11+G12</f>
        <v>1340534</v>
      </c>
      <c r="H13" s="48" t="n">
        <f aca="false">H8+H9+H10+H11+H12</f>
        <v>1676917</v>
      </c>
      <c r="I13" s="48" t="n">
        <f aca="false">I8+I9+I10+I11+I12</f>
        <v>1193847</v>
      </c>
      <c r="J13" s="48" t="n">
        <f aca="false">J8+J9+J10+J11+J12</f>
        <v>1273835</v>
      </c>
      <c r="K13" s="48" t="n">
        <f aca="false">K8+K9+K10+K11+K12</f>
        <v>2288202</v>
      </c>
      <c r="L13" s="48" t="n">
        <f aca="false">L8+L9+L10+L11+L12</f>
        <v>2054658</v>
      </c>
    </row>
    <row r="15" customFormat="false" ht="15" hidden="false" customHeight="true" outlineLevel="0" collapsed="false">
      <c r="A15" s="58" t="s">
        <v>458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customFormat="false" ht="15" hidden="false" customHeight="true" outlineLevel="0" collapsed="false">
      <c r="A16" s="8" t="s">
        <v>459</v>
      </c>
      <c r="B16" s="35" t="n">
        <v>174027</v>
      </c>
      <c r="C16" s="35" t="n">
        <v>197493</v>
      </c>
      <c r="D16" s="35" t="n">
        <v>163728</v>
      </c>
      <c r="E16" s="35" t="n">
        <v>203784</v>
      </c>
      <c r="F16" s="35" t="n">
        <v>242357</v>
      </c>
      <c r="G16" s="35" t="n">
        <v>244857</v>
      </c>
      <c r="H16" s="35" t="n">
        <v>299419</v>
      </c>
      <c r="I16" s="35" t="n">
        <v>336467</v>
      </c>
      <c r="J16" s="35" t="n">
        <v>307831</v>
      </c>
      <c r="K16" s="35" t="n">
        <v>249808</v>
      </c>
      <c r="L16" s="35" t="n">
        <v>241587</v>
      </c>
    </row>
    <row r="17" customFormat="false" ht="15" hidden="false" customHeight="true" outlineLevel="0" collapsed="false">
      <c r="A17" s="8" t="s">
        <v>433</v>
      </c>
      <c r="B17" s="35" t="n">
        <v>933386</v>
      </c>
      <c r="C17" s="35" t="n">
        <v>387689</v>
      </c>
      <c r="D17" s="35" t="n">
        <v>471330</v>
      </c>
      <c r="E17" s="35" t="n">
        <v>482152</v>
      </c>
      <c r="F17" s="35" t="n">
        <v>1327400</v>
      </c>
      <c r="G17" s="35" t="n">
        <v>685398</v>
      </c>
      <c r="H17" s="35" t="n">
        <v>839975</v>
      </c>
      <c r="I17" s="35" t="n">
        <v>539561</v>
      </c>
      <c r="J17" s="35" t="n">
        <v>242365</v>
      </c>
      <c r="K17" s="35" t="n">
        <v>332638</v>
      </c>
      <c r="L17" s="35" t="n">
        <v>95424</v>
      </c>
    </row>
    <row r="18" customFormat="false" ht="15" hidden="false" customHeight="true" outlineLevel="0" collapsed="false">
      <c r="A18" s="8" t="s">
        <v>460</v>
      </c>
      <c r="B18" s="35" t="n">
        <v>84890</v>
      </c>
      <c r="C18" s="35" t="n">
        <v>102522</v>
      </c>
      <c r="D18" s="35" t="n">
        <v>119458</v>
      </c>
      <c r="E18" s="35" t="n">
        <v>116877</v>
      </c>
      <c r="F18" s="35" t="n">
        <v>125902</v>
      </c>
      <c r="G18" s="35" t="n">
        <v>136087</v>
      </c>
      <c r="H18" s="35" t="n">
        <v>149996</v>
      </c>
      <c r="I18" s="35" t="n">
        <v>162048</v>
      </c>
      <c r="J18" s="35" t="n">
        <v>153793</v>
      </c>
      <c r="K18" s="35" t="n">
        <v>153237</v>
      </c>
      <c r="L18" s="35" t="n">
        <v>145099</v>
      </c>
    </row>
    <row r="19" customFormat="false" ht="15" hidden="false" customHeight="true" outlineLevel="0" collapsed="false">
      <c r="A19" s="8" t="s">
        <v>461</v>
      </c>
      <c r="B19" s="35" t="n">
        <v>100467</v>
      </c>
      <c r="C19" s="35" t="n">
        <v>109097</v>
      </c>
      <c r="D19" s="35" t="n">
        <v>111138</v>
      </c>
      <c r="E19" s="35" t="n">
        <v>114271</v>
      </c>
      <c r="F19" s="35" t="n">
        <v>119609</v>
      </c>
      <c r="G19" s="35" t="n">
        <v>130398</v>
      </c>
      <c r="H19" s="35" t="n">
        <v>133665</v>
      </c>
      <c r="I19" s="35" t="n">
        <v>156266</v>
      </c>
      <c r="J19" s="35" t="n">
        <v>184586</v>
      </c>
      <c r="K19" s="35" t="n">
        <v>197773</v>
      </c>
      <c r="L19" s="35" t="n">
        <v>171831</v>
      </c>
    </row>
    <row r="20" customFormat="false" ht="15" hidden="false" customHeight="true" outlineLevel="0" collapsed="false">
      <c r="A20" s="8" t="s">
        <v>361</v>
      </c>
      <c r="B20" s="35" t="n">
        <v>96739</v>
      </c>
      <c r="C20" s="35" t="n">
        <v>109398</v>
      </c>
      <c r="D20" s="35" t="n">
        <v>120749</v>
      </c>
      <c r="E20" s="35" t="n">
        <v>134929</v>
      </c>
      <c r="F20" s="35" t="n">
        <v>146521</v>
      </c>
      <c r="G20" s="35" t="n">
        <v>180071</v>
      </c>
      <c r="H20" s="35" t="n">
        <v>177774</v>
      </c>
      <c r="I20" s="35" t="n">
        <v>219761</v>
      </c>
      <c r="J20" s="35" t="n">
        <v>210479</v>
      </c>
      <c r="K20" s="35" t="n">
        <v>243720</v>
      </c>
      <c r="L20" s="35" t="n">
        <v>248146</v>
      </c>
    </row>
    <row r="21" customFormat="false" ht="15" hidden="false" customHeight="true" outlineLevel="0" collapsed="false">
      <c r="A21" s="8" t="s">
        <v>462</v>
      </c>
      <c r="B21" s="35" t="n">
        <v>17478</v>
      </c>
      <c r="C21" s="35" t="n">
        <v>15222</v>
      </c>
      <c r="D21" s="35" t="n">
        <v>9018</v>
      </c>
      <c r="E21" s="35" t="n">
        <v>7210</v>
      </c>
      <c r="F21" s="35" t="n">
        <v>13808</v>
      </c>
      <c r="G21" s="35" t="n">
        <v>39137</v>
      </c>
      <c r="H21" s="35" t="n">
        <v>28028</v>
      </c>
      <c r="I21" s="35" t="n">
        <v>28059</v>
      </c>
      <c r="J21" s="35" t="n">
        <v>18615</v>
      </c>
      <c r="K21" s="35" t="n">
        <v>18878</v>
      </c>
      <c r="L21" s="35" t="n">
        <v>4106</v>
      </c>
    </row>
    <row r="22" customFormat="false" ht="15" hidden="false" customHeight="true" outlineLevel="0" collapsed="false">
      <c r="A22" s="8" t="s">
        <v>463</v>
      </c>
      <c r="B22" s="35" t="n">
        <v>0</v>
      </c>
      <c r="C22" s="35" t="n">
        <v>0</v>
      </c>
      <c r="D22" s="35" t="n">
        <v>0</v>
      </c>
      <c r="E22" s="35" t="n">
        <v>0</v>
      </c>
      <c r="F22" s="35" t="n">
        <v>0</v>
      </c>
      <c r="G22" s="35" t="n">
        <v>12542</v>
      </c>
      <c r="H22" s="35" t="n">
        <v>12756</v>
      </c>
      <c r="I22" s="35" t="n">
        <v>9274</v>
      </c>
      <c r="J22" s="35" t="n">
        <v>10868</v>
      </c>
      <c r="K22" s="35" t="n">
        <v>134990</v>
      </c>
      <c r="L22" s="35" t="n">
        <v>128087</v>
      </c>
    </row>
    <row r="23" customFormat="false" ht="15" hidden="false" customHeight="true" outlineLevel="0" collapsed="false">
      <c r="A23" s="47" t="s">
        <v>464</v>
      </c>
      <c r="B23" s="48" t="n">
        <f aca="false">B16+B17+B18+B19+B20+B21+B22</f>
        <v>1406987</v>
      </c>
      <c r="C23" s="48" t="n">
        <f aca="false">C16+C17+C18+C19+C20+C21+C22</f>
        <v>921421</v>
      </c>
      <c r="D23" s="48" t="n">
        <f aca="false">D16+D17+D18+D19+D20+D21+D22</f>
        <v>995421</v>
      </c>
      <c r="E23" s="48" t="n">
        <f aca="false">E16+E17+E18+E19+E20+E21+E22</f>
        <v>1059223</v>
      </c>
      <c r="F23" s="48" t="n">
        <f aca="false">F16+F17+F18+F19+F20+F21+F22</f>
        <v>1975597</v>
      </c>
      <c r="G23" s="48" t="n">
        <f aca="false">G16+G17+G18+G19+G20+G21+G22</f>
        <v>1428490</v>
      </c>
      <c r="H23" s="48" t="n">
        <f aca="false">H16+H17+H18+H19+H20+H21+H22</f>
        <v>1641613</v>
      </c>
      <c r="I23" s="48" t="n">
        <f aca="false">I16+I17+I18+I19+I20+I21+I22</f>
        <v>1451436</v>
      </c>
      <c r="J23" s="48" t="n">
        <f aca="false">J16+J17+J18+J19+J20+J21+J22</f>
        <v>1128537</v>
      </c>
      <c r="K23" s="48" t="n">
        <f aca="false">K16+K17+K18+K19+K20+K21+K22</f>
        <v>1331044</v>
      </c>
      <c r="L23" s="48" t="n">
        <f aca="false">L16+L17+L18+L19+L20+L21+L22</f>
        <v>1034280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A1:S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5"/>
    <col collapsed="false" customWidth="true" hidden="false" outlineLevel="0" max="17" min="2" style="1" width="13"/>
  </cols>
  <sheetData>
    <row r="1" customFormat="false" ht="1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465</v>
      </c>
    </row>
    <row r="3" customFormat="false" ht="15" hidden="false" customHeight="true" outlineLevel="0" collapsed="false">
      <c r="A3" s="4" t="s">
        <v>466</v>
      </c>
    </row>
    <row r="5" customFormat="false" ht="15" hidden="false" customHeight="true" outlineLevel="0" collapsed="false">
      <c r="B5" s="5" t="s">
        <v>233</v>
      </c>
      <c r="C5" s="5" t="s">
        <v>234</v>
      </c>
      <c r="D5" s="5" t="s">
        <v>235</v>
      </c>
      <c r="E5" s="5" t="s">
        <v>236</v>
      </c>
      <c r="F5" s="5" t="s">
        <v>237</v>
      </c>
      <c r="G5" s="5" t="s">
        <v>238</v>
      </c>
      <c r="H5" s="5" t="s">
        <v>239</v>
      </c>
      <c r="I5" s="5" t="s">
        <v>240</v>
      </c>
      <c r="J5" s="5" t="s">
        <v>241</v>
      </c>
      <c r="K5" s="5" t="s">
        <v>242</v>
      </c>
      <c r="L5" s="5" t="s">
        <v>243</v>
      </c>
      <c r="M5" s="5" t="s">
        <v>3</v>
      </c>
      <c r="N5" s="5" t="s">
        <v>4</v>
      </c>
      <c r="O5" s="5" t="s">
        <v>5</v>
      </c>
      <c r="P5" s="5" t="s">
        <v>6</v>
      </c>
      <c r="Q5" s="5" t="s">
        <v>7</v>
      </c>
    </row>
    <row r="7" customFormat="false" ht="15" hidden="false" customHeight="true" outlineLevel="0" collapsed="false">
      <c r="A7" s="6" t="s">
        <v>467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customFormat="false" ht="15" hidden="false" customHeight="true" outlineLevel="0" collapsed="false">
      <c r="A8" s="8" t="s">
        <v>468</v>
      </c>
      <c r="B8" s="27" t="n">
        <f aca="false">BS!B37</f>
        <v>3659953</v>
      </c>
      <c r="C8" s="27" t="n">
        <f aca="false">BS!C37</f>
        <v>4158149</v>
      </c>
      <c r="D8" s="27" t="n">
        <f aca="false">BS!D37</f>
        <v>4894346</v>
      </c>
      <c r="E8" s="27" t="n">
        <f aca="false">BS!E37</f>
        <v>6277680</v>
      </c>
      <c r="F8" s="27" t="n">
        <f aca="false">BS!F37</f>
        <v>8403895</v>
      </c>
      <c r="G8" s="27" t="n">
        <f aca="false">BS!G37</f>
        <v>9273702</v>
      </c>
      <c r="H8" s="27" t="n">
        <f aca="false">BS!H37</f>
        <v>10399886</v>
      </c>
      <c r="I8" s="27" t="n">
        <f aca="false">BS!I37</f>
        <v>10003695</v>
      </c>
      <c r="J8" s="27" t="n">
        <f aca="false">BS!J37</f>
        <v>9278595</v>
      </c>
      <c r="K8" s="27" t="n">
        <f aca="false">BS!K37</f>
        <v>9027312</v>
      </c>
      <c r="L8" s="27" t="n">
        <f aca="false">BS!L37</f>
        <v>8761196</v>
      </c>
      <c r="M8" s="27" t="n">
        <f aca="false">BS!M37</f>
        <v>8835671.4316884</v>
      </c>
      <c r="N8" s="27" t="n">
        <f aca="false">BS!N37</f>
        <v>8917296.27688062</v>
      </c>
      <c r="O8" s="27" t="n">
        <f aca="false">BS!O37</f>
        <v>9009170.28324829</v>
      </c>
      <c r="P8" s="27" t="n">
        <f aca="false">BS!P37</f>
        <v>9110952.35703286</v>
      </c>
      <c r="Q8" s="27" t="n">
        <f aca="false">BS!Q37</f>
        <v>9224722.69715934</v>
      </c>
    </row>
    <row r="9" customFormat="false" ht="15" hidden="false" customHeight="true" outlineLevel="0" collapsed="false">
      <c r="A9" s="8" t="s">
        <v>331</v>
      </c>
      <c r="B9" s="27" t="n">
        <f aca="false">BS!B68</f>
        <v>3265984</v>
      </c>
      <c r="C9" s="27" t="n">
        <f aca="false">BS!C68</f>
        <v>3519331</v>
      </c>
      <c r="D9" s="27" t="n">
        <f aca="false">BS!D68</f>
        <v>4028396</v>
      </c>
      <c r="E9" s="27" t="n">
        <f aca="false">BS!E68</f>
        <v>4295698</v>
      </c>
      <c r="F9" s="27" t="n">
        <f aca="false">BS!F68</f>
        <v>4932465</v>
      </c>
      <c r="G9" s="27" t="n">
        <f aca="false">BS!G68</f>
        <v>5506012</v>
      </c>
      <c r="H9" s="27" t="n">
        <f aca="false">BS!H68</f>
        <v>6410931</v>
      </c>
      <c r="I9" s="27" t="n">
        <f aca="false">BS!I68</f>
        <v>6966072</v>
      </c>
      <c r="J9" s="27" t="n">
        <f aca="false">BS!J68</f>
        <v>7059121</v>
      </c>
      <c r="K9" s="27" t="n">
        <f aca="false">BS!K68</f>
        <v>5992014</v>
      </c>
      <c r="L9" s="27" t="n">
        <f aca="false">BS!L68</f>
        <v>5964851</v>
      </c>
      <c r="M9" s="27" t="n">
        <f aca="false">BS!M68</f>
        <v>5730225.7841558</v>
      </c>
      <c r="N9" s="27" t="n">
        <f aca="false">BS!N68</f>
        <v>5687625.93896358</v>
      </c>
      <c r="O9" s="27" t="n">
        <f aca="false">BS!O68</f>
        <v>5799276.93259591</v>
      </c>
      <c r="P9" s="27" t="n">
        <f aca="false">BS!P68</f>
        <v>5955519.85881134</v>
      </c>
      <c r="Q9" s="27" t="n">
        <f aca="false">BS!Q68</f>
        <v>6104274.51868486</v>
      </c>
    </row>
    <row r="10" customFormat="false" ht="15" hidden="false" customHeight="true" outlineLevel="0" collapsed="false">
      <c r="A10" s="8" t="s">
        <v>469</v>
      </c>
      <c r="B10" s="35" t="n">
        <v>0</v>
      </c>
      <c r="C10" s="35" t="n">
        <v>0</v>
      </c>
      <c r="D10" s="35" t="n">
        <v>-23786</v>
      </c>
      <c r="E10" s="35" t="n">
        <v>0</v>
      </c>
      <c r="F10" s="35" t="n">
        <v>-477328</v>
      </c>
      <c r="G10" s="35" t="n">
        <v>-121722</v>
      </c>
      <c r="H10" s="35" t="n">
        <v>-73411</v>
      </c>
      <c r="I10" s="35" t="n">
        <v>0</v>
      </c>
      <c r="J10" s="35" t="n">
        <v>-29528</v>
      </c>
      <c r="K10" s="35" t="n">
        <v>-136243</v>
      </c>
      <c r="L10" s="35" t="n">
        <v>-33176</v>
      </c>
      <c r="M10" s="35" t="n">
        <v>0</v>
      </c>
      <c r="N10" s="35" t="n">
        <v>0</v>
      </c>
      <c r="O10" s="35" t="n">
        <v>0</v>
      </c>
      <c r="P10" s="35" t="n">
        <v>0</v>
      </c>
      <c r="Q10" s="35" t="n">
        <v>0</v>
      </c>
    </row>
    <row r="11" customFormat="false" ht="15" hidden="false" customHeight="true" outlineLevel="0" collapsed="false">
      <c r="A11" s="8" t="s">
        <v>470</v>
      </c>
      <c r="B11" s="36" t="n">
        <f aca="false">B8+B9+B10</f>
        <v>6925937</v>
      </c>
      <c r="C11" s="36" t="n">
        <f aca="false">C8+C9+C10</f>
        <v>7677480</v>
      </c>
      <c r="D11" s="36" t="n">
        <f aca="false">D8+D9+D10</f>
        <v>8898956</v>
      </c>
      <c r="E11" s="36" t="n">
        <f aca="false">E8+E9+E10</f>
        <v>10573378</v>
      </c>
      <c r="F11" s="36" t="n">
        <f aca="false">F8+F9+F10</f>
        <v>12859032</v>
      </c>
      <c r="G11" s="36" t="n">
        <f aca="false">G8+G9+G10</f>
        <v>14657992</v>
      </c>
      <c r="H11" s="36" t="n">
        <f aca="false">H8+H9+H10</f>
        <v>16737406</v>
      </c>
      <c r="I11" s="36" t="n">
        <f aca="false">I8+I9+I10</f>
        <v>16969767</v>
      </c>
      <c r="J11" s="36" t="n">
        <f aca="false">J8+J9+J10</f>
        <v>16308188</v>
      </c>
      <c r="K11" s="36" t="n">
        <f aca="false">K8+K9+K10</f>
        <v>14883083</v>
      </c>
      <c r="L11" s="36" t="n">
        <f aca="false">L8+L9+L10</f>
        <v>14692871</v>
      </c>
      <c r="M11" s="36" t="n">
        <f aca="false">M8+M9+M10</f>
        <v>14565897.2158442</v>
      </c>
      <c r="N11" s="36" t="n">
        <f aca="false">N8+N9+N10</f>
        <v>14604922.2158442</v>
      </c>
      <c r="O11" s="36" t="n">
        <f aca="false">O8+O9+O10</f>
        <v>14808447.2158442</v>
      </c>
      <c r="P11" s="36" t="n">
        <f aca="false">P8+P9+P10</f>
        <v>15066472.2158442</v>
      </c>
      <c r="Q11" s="36" t="n">
        <f aca="false">Q8+Q9+Q10</f>
        <v>15328997.2158442</v>
      </c>
    </row>
    <row r="12" customFormat="false" ht="15" hidden="false" customHeight="true" outlineLevel="0" collapsed="false">
      <c r="A12" s="8" t="s">
        <v>471</v>
      </c>
      <c r="B12" s="32" t="n">
        <f aca="false">B11</f>
        <v>6925937</v>
      </c>
      <c r="C12" s="32" t="n">
        <f aca="false">(C11+B11)/2</f>
        <v>7301708.5</v>
      </c>
      <c r="D12" s="32" t="n">
        <f aca="false">(D11+C11)/2</f>
        <v>8288218</v>
      </c>
      <c r="E12" s="32" t="n">
        <f aca="false">(E11+D11)/2</f>
        <v>9736167</v>
      </c>
      <c r="F12" s="32" t="n">
        <f aca="false">(F11+E11)/2</f>
        <v>11716205</v>
      </c>
      <c r="G12" s="32" t="n">
        <f aca="false">(G11+F11)/2</f>
        <v>13758512</v>
      </c>
      <c r="H12" s="32" t="n">
        <f aca="false">(H11+G11)/2</f>
        <v>15697699</v>
      </c>
      <c r="I12" s="32" t="n">
        <f aca="false">(I11+H11)/2</f>
        <v>16853586.5</v>
      </c>
      <c r="J12" s="32" t="n">
        <f aca="false">(J11+I11)/2</f>
        <v>16638977.5</v>
      </c>
      <c r="K12" s="32" t="n">
        <f aca="false">(K11+J11)/2</f>
        <v>15595635.5</v>
      </c>
      <c r="L12" s="32" t="n">
        <f aca="false">(L11+K11)/2</f>
        <v>14787977</v>
      </c>
      <c r="M12" s="32" t="n">
        <f aca="false">(M11+L11)/2</f>
        <v>14629384.1079221</v>
      </c>
      <c r="N12" s="32" t="n">
        <f aca="false">(N11+M11)/2</f>
        <v>14585409.7158442</v>
      </c>
      <c r="O12" s="32" t="n">
        <f aca="false">(O11+N11)/2</f>
        <v>14706684.7158442</v>
      </c>
      <c r="P12" s="32" t="n">
        <f aca="false">(P11+O11)/2</f>
        <v>14937459.7158442</v>
      </c>
      <c r="Q12" s="32" t="n">
        <f aca="false">(Q11+P11)/2</f>
        <v>15197734.7158442</v>
      </c>
    </row>
    <row r="14" customFormat="false" ht="15" hidden="false" customHeight="true" outlineLevel="0" collapsed="false">
      <c r="A14" s="6" t="s">
        <v>472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customFormat="false" ht="15" hidden="false" customHeight="true" outlineLevel="0" collapsed="false">
      <c r="A15" s="8" t="s">
        <v>473</v>
      </c>
      <c r="B15" s="35" t="n">
        <v>173242</v>
      </c>
      <c r="C15" s="35" t="n">
        <v>227335</v>
      </c>
      <c r="D15" s="35" t="n">
        <v>626953</v>
      </c>
      <c r="E15" s="35" t="n">
        <v>990529</v>
      </c>
      <c r="F15" s="35" t="n">
        <v>892156</v>
      </c>
      <c r="G15" s="35" t="n">
        <v>595859</v>
      </c>
      <c r="H15" s="35" t="n">
        <v>1048742</v>
      </c>
      <c r="I15" s="35" t="n">
        <v>-468327</v>
      </c>
      <c r="J15" s="35" t="n">
        <v>-914585</v>
      </c>
      <c r="K15" s="35" t="n">
        <v>58486</v>
      </c>
      <c r="L15" s="35" t="n">
        <v>-84690</v>
      </c>
      <c r="M15" s="35" t="n">
        <v>0</v>
      </c>
      <c r="N15" s="35" t="n">
        <v>0</v>
      </c>
      <c r="O15" s="35" t="n">
        <v>0</v>
      </c>
      <c r="P15" s="35" t="n">
        <v>0</v>
      </c>
      <c r="Q15" s="35" t="n">
        <v>0</v>
      </c>
    </row>
    <row r="16" customFormat="false" ht="15" hidden="false" customHeight="true" outlineLevel="0" collapsed="false">
      <c r="A16" s="8" t="s">
        <v>474</v>
      </c>
      <c r="B16" s="16" t="n">
        <v>500000</v>
      </c>
      <c r="C16" s="32" t="n">
        <f aca="false">B16+C15</f>
        <v>727335</v>
      </c>
      <c r="D16" s="32" t="n">
        <f aca="false">C16+D15</f>
        <v>1354288</v>
      </c>
      <c r="E16" s="32" t="n">
        <f aca="false">D16+E15</f>
        <v>2344817</v>
      </c>
      <c r="F16" s="32" t="n">
        <f aca="false">E16+F15</f>
        <v>3236973</v>
      </c>
      <c r="G16" s="32" t="n">
        <f aca="false">F16+G15</f>
        <v>3832832</v>
      </c>
      <c r="H16" s="32" t="n">
        <f aca="false">G16+H15</f>
        <v>4881574</v>
      </c>
      <c r="I16" s="32" t="n">
        <f aca="false">H16+I15</f>
        <v>4413247</v>
      </c>
      <c r="J16" s="32" t="n">
        <f aca="false">I16+J15</f>
        <v>3498662</v>
      </c>
      <c r="K16" s="32" t="n">
        <f aca="false">J16+K15</f>
        <v>3557148</v>
      </c>
      <c r="L16" s="32" t="n">
        <f aca="false">K16+L15</f>
        <v>3472458</v>
      </c>
      <c r="M16" s="32" t="n">
        <f aca="false">L16+M15</f>
        <v>3472458</v>
      </c>
      <c r="N16" s="32" t="n">
        <f aca="false">M16+N15</f>
        <v>3472458</v>
      </c>
      <c r="O16" s="32" t="n">
        <f aca="false">N16+O15</f>
        <v>3472458</v>
      </c>
      <c r="P16" s="32" t="n">
        <f aca="false">O16+P15</f>
        <v>3472458</v>
      </c>
      <c r="Q16" s="32" t="n">
        <f aca="false">P16+Q15</f>
        <v>3472458</v>
      </c>
    </row>
    <row r="18" customFormat="false" ht="15" hidden="false" customHeight="true" outlineLevel="0" collapsed="false">
      <c r="A18" s="6" t="s">
        <v>475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customFormat="false" ht="15" hidden="false" customHeight="true" outlineLevel="0" collapsed="false">
      <c r="A19" s="8" t="s">
        <v>470</v>
      </c>
      <c r="B19" s="32" t="n">
        <f aca="false">B11</f>
        <v>6925937</v>
      </c>
      <c r="C19" s="32" t="n">
        <f aca="false">C11</f>
        <v>7677480</v>
      </c>
      <c r="D19" s="32" t="n">
        <f aca="false">D11</f>
        <v>8898956</v>
      </c>
      <c r="E19" s="32" t="n">
        <f aca="false">E11</f>
        <v>10573378</v>
      </c>
      <c r="F19" s="32" t="n">
        <f aca="false">F11</f>
        <v>12859032</v>
      </c>
      <c r="G19" s="32" t="n">
        <f aca="false">G11</f>
        <v>14657992</v>
      </c>
      <c r="H19" s="32" t="n">
        <f aca="false">H11</f>
        <v>16737406</v>
      </c>
      <c r="I19" s="32" t="n">
        <f aca="false">I11</f>
        <v>16969767</v>
      </c>
      <c r="J19" s="32" t="n">
        <f aca="false">J11</f>
        <v>16308188</v>
      </c>
      <c r="K19" s="32" t="n">
        <f aca="false">K11</f>
        <v>14883083</v>
      </c>
      <c r="L19" s="32" t="n">
        <f aca="false">L11</f>
        <v>14692871</v>
      </c>
      <c r="M19" s="32" t="n">
        <f aca="false">M11</f>
        <v>14565897.2158442</v>
      </c>
      <c r="N19" s="32" t="n">
        <f aca="false">N11</f>
        <v>14604922.2158442</v>
      </c>
      <c r="O19" s="32" t="n">
        <f aca="false">O11</f>
        <v>14808447.2158442</v>
      </c>
      <c r="P19" s="32" t="n">
        <f aca="false">P11</f>
        <v>15066472.2158442</v>
      </c>
      <c r="Q19" s="32" t="n">
        <f aca="false">Q11</f>
        <v>15328997.2158442</v>
      </c>
    </row>
    <row r="20" customFormat="false" ht="15" hidden="false" customHeight="true" outlineLevel="0" collapsed="false">
      <c r="A20" s="8" t="s">
        <v>476</v>
      </c>
      <c r="B20" s="32" t="n">
        <f aca="false">-B16</f>
        <v>-500000</v>
      </c>
      <c r="C20" s="32" t="n">
        <f aca="false">-C16</f>
        <v>-727335</v>
      </c>
      <c r="D20" s="32" t="n">
        <f aca="false">-D16</f>
        <v>-1354288</v>
      </c>
      <c r="E20" s="32" t="n">
        <f aca="false">-E16</f>
        <v>-2344817</v>
      </c>
      <c r="F20" s="32" t="n">
        <f aca="false">-F16</f>
        <v>-3236973</v>
      </c>
      <c r="G20" s="32" t="n">
        <f aca="false">-G16</f>
        <v>-3832832</v>
      </c>
      <c r="H20" s="32" t="n">
        <f aca="false">-H16</f>
        <v>-4881574</v>
      </c>
      <c r="I20" s="32" t="n">
        <f aca="false">-I16</f>
        <v>-4413247</v>
      </c>
      <c r="J20" s="32" t="n">
        <f aca="false">-J16</f>
        <v>-3498662</v>
      </c>
      <c r="K20" s="32" t="n">
        <f aca="false">-K16</f>
        <v>-3557148</v>
      </c>
      <c r="L20" s="32" t="n">
        <f aca="false">-L16</f>
        <v>-3472458</v>
      </c>
      <c r="M20" s="32" t="n">
        <f aca="false">-M16</f>
        <v>-3472458</v>
      </c>
      <c r="N20" s="32" t="n">
        <f aca="false">-N16</f>
        <v>-3472458</v>
      </c>
      <c r="O20" s="32" t="n">
        <f aca="false">-O16</f>
        <v>-3472458</v>
      </c>
      <c r="P20" s="32" t="n">
        <f aca="false">-P16</f>
        <v>-3472458</v>
      </c>
      <c r="Q20" s="32" t="n">
        <f aca="false">-Q16</f>
        <v>-3472458</v>
      </c>
    </row>
    <row r="21" customFormat="false" ht="15" hidden="false" customHeight="true" outlineLevel="0" collapsed="false">
      <c r="A21" s="8" t="s">
        <v>477</v>
      </c>
      <c r="B21" s="36" t="n">
        <f aca="false">B19+B20</f>
        <v>6425937</v>
      </c>
      <c r="C21" s="36" t="n">
        <f aca="false">C19+C20</f>
        <v>6950145</v>
      </c>
      <c r="D21" s="36" t="n">
        <f aca="false">D19+D20</f>
        <v>7544668</v>
      </c>
      <c r="E21" s="36" t="n">
        <f aca="false">E19+E20</f>
        <v>8228561</v>
      </c>
      <c r="F21" s="36" t="n">
        <f aca="false">F19+F20</f>
        <v>9622059</v>
      </c>
      <c r="G21" s="36" t="n">
        <f aca="false">G19+G20</f>
        <v>10825160</v>
      </c>
      <c r="H21" s="36" t="n">
        <f aca="false">H19+H20</f>
        <v>11855832</v>
      </c>
      <c r="I21" s="36" t="n">
        <f aca="false">I19+I20</f>
        <v>12556520</v>
      </c>
      <c r="J21" s="36" t="n">
        <f aca="false">J19+J20</f>
        <v>12809526</v>
      </c>
      <c r="K21" s="36" t="n">
        <f aca="false">K19+K20</f>
        <v>11325935</v>
      </c>
      <c r="L21" s="36" t="n">
        <f aca="false">L19+L20</f>
        <v>11220413</v>
      </c>
      <c r="M21" s="36" t="n">
        <f aca="false">M19+M20</f>
        <v>11093439.2158442</v>
      </c>
      <c r="N21" s="36" t="n">
        <f aca="false">N19+N20</f>
        <v>11132464.2158442</v>
      </c>
      <c r="O21" s="36" t="n">
        <f aca="false">O19+O20</f>
        <v>11335989.2158442</v>
      </c>
      <c r="P21" s="36" t="n">
        <f aca="false">P19+P20</f>
        <v>11594014.2158442</v>
      </c>
      <c r="Q21" s="36" t="n">
        <f aca="false">Q19+Q20</f>
        <v>11856539.2158442</v>
      </c>
    </row>
    <row r="22" customFormat="false" ht="15" hidden="false" customHeight="true" outlineLevel="0" collapsed="false">
      <c r="A22" s="8" t="s">
        <v>478</v>
      </c>
      <c r="B22" s="32" t="n">
        <f aca="false">B21</f>
        <v>6425937</v>
      </c>
      <c r="C22" s="32" t="n">
        <f aca="false">(C21+B21)/2</f>
        <v>6688041</v>
      </c>
      <c r="D22" s="32" t="n">
        <f aca="false">(D21+C21)/2</f>
        <v>7247406.5</v>
      </c>
      <c r="E22" s="32" t="n">
        <f aca="false">(E21+D21)/2</f>
        <v>7886614.5</v>
      </c>
      <c r="F22" s="32" t="n">
        <f aca="false">(F21+E21)/2</f>
        <v>8925310</v>
      </c>
      <c r="G22" s="32" t="n">
        <f aca="false">(G21+F21)/2</f>
        <v>10223609.5</v>
      </c>
      <c r="H22" s="32" t="n">
        <f aca="false">(H21+G21)/2</f>
        <v>11340496</v>
      </c>
      <c r="I22" s="32" t="n">
        <f aca="false">(I21+H21)/2</f>
        <v>12206176</v>
      </c>
      <c r="J22" s="32" t="n">
        <f aca="false">(J21+I21)/2</f>
        <v>12683023</v>
      </c>
      <c r="K22" s="32" t="n">
        <f aca="false">(K21+J21)/2</f>
        <v>12067730.5</v>
      </c>
      <c r="L22" s="32" t="n">
        <f aca="false">(L21+K21)/2</f>
        <v>11273174</v>
      </c>
      <c r="M22" s="32" t="n">
        <f aca="false">(M21+L21)/2</f>
        <v>11156926.1079221</v>
      </c>
      <c r="N22" s="32" t="n">
        <f aca="false">(N21+M21)/2</f>
        <v>11112951.7158442</v>
      </c>
      <c r="O22" s="32" t="n">
        <f aca="false">(O21+N21)/2</f>
        <v>11234226.7158442</v>
      </c>
      <c r="P22" s="32" t="n">
        <f aca="false">(P21+O21)/2</f>
        <v>11465001.7158442</v>
      </c>
      <c r="Q22" s="32" t="n">
        <f aca="false">(Q21+P21)/2</f>
        <v>11725276.7158442</v>
      </c>
    </row>
    <row r="24" customFormat="false" ht="15" hidden="false" customHeight="true" outlineLevel="0" collapsed="false">
      <c r="A24" s="6" t="s">
        <v>479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customFormat="false" ht="15" hidden="false" customHeight="true" outlineLevel="0" collapsed="false">
      <c r="A25" s="8" t="s">
        <v>480</v>
      </c>
      <c r="B25" s="27" t="n">
        <f aca="false">IS!B11</f>
        <v>324614</v>
      </c>
      <c r="C25" s="27" t="n">
        <f aca="false">IS!C11</f>
        <v>366947</v>
      </c>
      <c r="D25" s="27" t="n">
        <f aca="false">IS!D11</f>
        <v>393258</v>
      </c>
      <c r="E25" s="27" t="n">
        <f aca="false">IS!E11</f>
        <v>439056</v>
      </c>
      <c r="F25" s="27" t="n">
        <f aca="false">IS!F11</f>
        <v>508150</v>
      </c>
      <c r="G25" s="27" t="n">
        <f aca="false">IS!G11</f>
        <v>578171</v>
      </c>
      <c r="H25" s="27" t="n">
        <f aca="false">IS!H11</f>
        <v>609993</v>
      </c>
      <c r="I25" s="27" t="n">
        <f aca="false">IS!I11</f>
        <v>650409</v>
      </c>
      <c r="J25" s="27" t="n">
        <f aca="false">IS!J11</f>
        <v>692786</v>
      </c>
      <c r="K25" s="27" t="n">
        <f aca="false">IS!K11</f>
        <v>730654</v>
      </c>
      <c r="L25" s="27" t="n">
        <f aca="false">IS!L11</f>
        <v>653711</v>
      </c>
      <c r="M25" s="27" t="n">
        <f aca="false">IS!M11</f>
        <v>644384.48812</v>
      </c>
      <c r="N25" s="27" t="n">
        <f aca="false">IS!N11</f>
        <v>634529.869396235</v>
      </c>
      <c r="O25" s="27" t="n">
        <f aca="false">IS!O11</f>
        <v>641615.128088529</v>
      </c>
      <c r="P25" s="27" t="n">
        <f aca="false">IS!P11</f>
        <v>663912.970097808</v>
      </c>
      <c r="Q25" s="27" t="n">
        <f aca="false">IS!Q11</f>
        <v>686946.846596666</v>
      </c>
    </row>
    <row r="26" customFormat="false" ht="15" hidden="false" customHeight="true" outlineLevel="0" collapsed="false">
      <c r="A26" s="8" t="s">
        <v>481</v>
      </c>
      <c r="B26" s="27" t="n">
        <f aca="false">IS!B15</f>
        <v>-22707</v>
      </c>
      <c r="C26" s="27" t="n">
        <f aca="false">IS!C15</f>
        <v>-32129</v>
      </c>
      <c r="D26" s="27" t="n">
        <f aca="false">IS!D15</f>
        <v>-32569</v>
      </c>
      <c r="E26" s="27" t="n">
        <f aca="false">IS!E15</f>
        <v>-39515</v>
      </c>
      <c r="F26" s="27" t="n">
        <f aca="false">IS!F15</f>
        <v>-46244</v>
      </c>
      <c r="G26" s="27" t="n">
        <f aca="false">IS!G15</f>
        <v>-43268</v>
      </c>
      <c r="H26" s="27" t="n">
        <f aca="false">IS!H15</f>
        <v>-51366</v>
      </c>
      <c r="I26" s="27" t="n">
        <f aca="false">IS!I15</f>
        <v>-57965</v>
      </c>
      <c r="J26" s="27" t="n">
        <f aca="false">IS!J15</f>
        <v>-62373</v>
      </c>
      <c r="K26" s="27" t="n">
        <f aca="false">IS!K15</f>
        <v>-58624</v>
      </c>
      <c r="L26" s="27" t="n">
        <f aca="false">IS!L15</f>
        <v>-54989</v>
      </c>
      <c r="M26" s="27" t="n">
        <f aca="false">IS!M15</f>
        <v>-55460.2056316</v>
      </c>
      <c r="N26" s="27" t="n">
        <f aca="false">IS!N15</f>
        <v>-56016.1908035859</v>
      </c>
      <c r="O26" s="27" t="n">
        <f aca="false">IS!O15</f>
        <v>-55975.2798060018</v>
      </c>
      <c r="P26" s="27" t="n">
        <f aca="false">IS!P15</f>
        <v>-57764.2497486017</v>
      </c>
      <c r="Q26" s="27" t="n">
        <f aca="false">IS!Q15</f>
        <v>-58506.4989637046</v>
      </c>
    </row>
    <row r="27" customFormat="false" ht="15" hidden="false" customHeight="true" outlineLevel="0" collapsed="false">
      <c r="A27" s="8" t="s">
        <v>482</v>
      </c>
      <c r="B27" s="32" t="n">
        <f aca="false">B25+B26</f>
        <v>301907</v>
      </c>
      <c r="C27" s="32" t="n">
        <f aca="false">C25+C26</f>
        <v>334818</v>
      </c>
      <c r="D27" s="32" t="n">
        <f aca="false">D25+D26</f>
        <v>360689</v>
      </c>
      <c r="E27" s="32" t="n">
        <f aca="false">E25+E26</f>
        <v>399541</v>
      </c>
      <c r="F27" s="32" t="n">
        <f aca="false">F25+F26</f>
        <v>461906</v>
      </c>
      <c r="G27" s="32" t="n">
        <f aca="false">G25+G26</f>
        <v>534903</v>
      </c>
      <c r="H27" s="32" t="n">
        <f aca="false">H25+H26</f>
        <v>558627</v>
      </c>
      <c r="I27" s="32" t="n">
        <f aca="false">I25+I26</f>
        <v>592444</v>
      </c>
      <c r="J27" s="32" t="n">
        <f aca="false">J25+J26</f>
        <v>630413</v>
      </c>
      <c r="K27" s="32" t="n">
        <f aca="false">K25+K26</f>
        <v>672030</v>
      </c>
      <c r="L27" s="32" t="n">
        <f aca="false">L25+L26</f>
        <v>598722</v>
      </c>
      <c r="M27" s="32" t="n">
        <f aca="false">M25+M26</f>
        <v>588924.2824884</v>
      </c>
      <c r="N27" s="32" t="n">
        <f aca="false">N25+N26</f>
        <v>578513.678592649</v>
      </c>
      <c r="O27" s="32" t="n">
        <f aca="false">O25+O26</f>
        <v>585639.848282528</v>
      </c>
      <c r="P27" s="32" t="n">
        <f aca="false">P25+P26</f>
        <v>606148.720349206</v>
      </c>
      <c r="Q27" s="32" t="n">
        <f aca="false">Q25+Q26</f>
        <v>628440.347632962</v>
      </c>
    </row>
    <row r="28" customFormat="false" ht="15" hidden="false" customHeight="true" outlineLevel="0" collapsed="false">
      <c r="A28" s="8" t="s">
        <v>483</v>
      </c>
      <c r="B28" s="27" t="n">
        <f aca="false">BS!B8</f>
        <v>6863140</v>
      </c>
      <c r="C28" s="27" t="n">
        <f aca="false">BS!C8</f>
        <v>7642017</v>
      </c>
      <c r="D28" s="27" t="n">
        <f aca="false">BS!D8</f>
        <v>8886556</v>
      </c>
      <c r="E28" s="27" t="n">
        <f aca="false">BS!E8</f>
        <v>10473544</v>
      </c>
      <c r="F28" s="27" t="n">
        <f aca="false">BS!F8</f>
        <v>13096426</v>
      </c>
      <c r="G28" s="27" t="n">
        <f aca="false">BS!G8</f>
        <v>15000591</v>
      </c>
      <c r="H28" s="27" t="n">
        <f aca="false">BS!H8</f>
        <v>17101919</v>
      </c>
      <c r="I28" s="27" t="n">
        <f aca="false">BS!I8</f>
        <v>17153709</v>
      </c>
      <c r="J28" s="27" t="n">
        <f aca="false">BS!J8</f>
        <v>16532096</v>
      </c>
      <c r="K28" s="27" t="n">
        <f aca="false">BS!K8</f>
        <v>14868362</v>
      </c>
      <c r="L28" s="27" t="n">
        <f aca="false">BS!L8</f>
        <v>14732478</v>
      </c>
      <c r="M28" s="27" t="n">
        <f aca="false">BS!M8</f>
        <v>15161987.9557647</v>
      </c>
      <c r="N28" s="27" t="n">
        <f aca="false">BS!N8</f>
        <v>14930114.5740291</v>
      </c>
      <c r="O28" s="27" t="n">
        <f aca="false">BS!O8</f>
        <v>15096826.5432595</v>
      </c>
      <c r="P28" s="27" t="n">
        <f aca="false">BS!P8</f>
        <v>15621481.6493602</v>
      </c>
      <c r="Q28" s="27" t="n">
        <f aca="false">BS!Q8</f>
        <v>16163455.2140392</v>
      </c>
    </row>
    <row r="29" customFormat="false" ht="15" hidden="false" customHeight="true" outlineLevel="0" collapsed="false">
      <c r="A29" s="8" t="s">
        <v>484</v>
      </c>
      <c r="B29" s="32" t="n">
        <f aca="false">B28</f>
        <v>6863140</v>
      </c>
      <c r="C29" s="32" t="n">
        <f aca="false">(C28+B28)/2</f>
        <v>7252578.5</v>
      </c>
      <c r="D29" s="32" t="n">
        <f aca="false">(D28+C28)/2</f>
        <v>8264286.5</v>
      </c>
      <c r="E29" s="32" t="n">
        <f aca="false">(E28+D28)/2</f>
        <v>9680050</v>
      </c>
      <c r="F29" s="32" t="n">
        <f aca="false">(F28+E28)/2</f>
        <v>11784985</v>
      </c>
      <c r="G29" s="32" t="n">
        <f aca="false">(G28+F28)/2</f>
        <v>14048508.5</v>
      </c>
      <c r="H29" s="32" t="n">
        <f aca="false">(H28+G28)/2</f>
        <v>16051255</v>
      </c>
      <c r="I29" s="32" t="n">
        <f aca="false">(I28+H28)/2</f>
        <v>17127814</v>
      </c>
      <c r="J29" s="32" t="n">
        <f aca="false">(J28+I28)/2</f>
        <v>16842902.5</v>
      </c>
      <c r="K29" s="32" t="n">
        <f aca="false">(K28+J28)/2</f>
        <v>15700229</v>
      </c>
      <c r="L29" s="32" t="n">
        <f aca="false">(L28+K28)/2</f>
        <v>14800420</v>
      </c>
      <c r="M29" s="32" t="n">
        <f aca="false">(M28+L28)/2</f>
        <v>14947232.9778824</v>
      </c>
      <c r="N29" s="32" t="n">
        <f aca="false">(N28+M28)/2</f>
        <v>15046051.2648969</v>
      </c>
      <c r="O29" s="32" t="n">
        <f aca="false">(O28+N28)/2</f>
        <v>15013470.5586443</v>
      </c>
      <c r="P29" s="32" t="n">
        <f aca="false">(P28+O28)/2</f>
        <v>15359154.0963098</v>
      </c>
      <c r="Q29" s="32" t="n">
        <f aca="false">(Q28+P28)/2</f>
        <v>15892468.4316997</v>
      </c>
    </row>
    <row r="31" customFormat="false" ht="15" hidden="false" customHeight="true" outlineLevel="0" collapsed="false">
      <c r="A31" s="6" t="s">
        <v>485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customFormat="false" ht="15" hidden="false" customHeight="true" outlineLevel="0" collapsed="false">
      <c r="A32" s="8" t="s">
        <v>486</v>
      </c>
      <c r="C32" s="34" t="n">
        <f aca="false">C25/C29</f>
        <v>0.0505953848000404</v>
      </c>
      <c r="D32" s="34" t="n">
        <f aca="false">D25/D29</f>
        <v>0.0475852331595716</v>
      </c>
      <c r="E32" s="34" t="n">
        <f aca="false">E25/E29</f>
        <v>0.0453567905124457</v>
      </c>
      <c r="F32" s="34" t="n">
        <f aca="false">F25/F29</f>
        <v>0.0431184256916746</v>
      </c>
      <c r="G32" s="34" t="n">
        <f aca="false">G25/G29</f>
        <v>0.0411553297632984</v>
      </c>
      <c r="H32" s="34" t="n">
        <f aca="false">H25/H29</f>
        <v>0.0380028228322334</v>
      </c>
      <c r="I32" s="34" t="n">
        <f aca="false">I25/I29</f>
        <v>0.0379738476842404</v>
      </c>
      <c r="J32" s="34" t="n">
        <f aca="false">J25/J29</f>
        <v>0.0411322217177235</v>
      </c>
      <c r="K32" s="34" t="n">
        <f aca="false">K25/K29</f>
        <v>0.0465377925379305</v>
      </c>
      <c r="L32" s="34" t="n">
        <f aca="false">L25/L29</f>
        <v>0.0441684087343467</v>
      </c>
      <c r="M32" s="34" t="n">
        <f aca="false">M25/M29</f>
        <v>0.0431106204789546</v>
      </c>
      <c r="N32" s="34" t="n">
        <f aca="false">N25/N29</f>
        <v>0.0421725181062371</v>
      </c>
      <c r="O32" s="34" t="n">
        <f aca="false">O25/O29</f>
        <v>0.0427359633858347</v>
      </c>
      <c r="P32" s="34" t="n">
        <f aca="false">P25/P29</f>
        <v>0.0432258811868629</v>
      </c>
      <c r="Q32" s="34" t="n">
        <f aca="false">Q25/Q29</f>
        <v>0.0432246790074761</v>
      </c>
    </row>
    <row r="33" customFormat="false" ht="15" hidden="false" customHeight="true" outlineLevel="0" collapsed="false">
      <c r="A33" s="8" t="s">
        <v>487</v>
      </c>
      <c r="C33" s="34" t="n">
        <f aca="false">C27/C12</f>
        <v>0.0458547475566849</v>
      </c>
      <c r="D33" s="34" t="n">
        <f aca="false">D27/D12</f>
        <v>0.0435182810104657</v>
      </c>
      <c r="E33" s="34" t="n">
        <f aca="false">E27/E12</f>
        <v>0.0410367858316317</v>
      </c>
      <c r="F33" s="34" t="n">
        <f aca="false">F27/F12</f>
        <v>0.0394245406255695</v>
      </c>
      <c r="G33" s="34" t="n">
        <f aca="false">G27/G12</f>
        <v>0.0388779687803449</v>
      </c>
      <c r="H33" s="34" t="n">
        <f aca="false">H27/H12</f>
        <v>0.0355865531629827</v>
      </c>
      <c r="I33" s="34" t="n">
        <f aca="false">I27/I12</f>
        <v>0.0351523991644152</v>
      </c>
      <c r="J33" s="34" t="n">
        <f aca="false">J27/J12</f>
        <v>0.0378877247715492</v>
      </c>
      <c r="K33" s="34" t="n">
        <f aca="false">K27/K12</f>
        <v>0.0430909019385584</v>
      </c>
      <c r="L33" s="34" t="n">
        <f aca="false">L27/L12</f>
        <v>0.0404870794700316</v>
      </c>
      <c r="M33" s="34" t="n">
        <f aca="false">M27/M12</f>
        <v>0.0402562594668279</v>
      </c>
      <c r="N33" s="34" t="n">
        <f aca="false">N27/N12</f>
        <v>0.0396638620281066</v>
      </c>
      <c r="O33" s="34" t="n">
        <f aca="false">O27/O12</f>
        <v>0.0398213370040897</v>
      </c>
      <c r="P33" s="34" t="n">
        <f aca="false">P27/P12</f>
        <v>0.0405791032665522</v>
      </c>
      <c r="Q33" s="34" t="n">
        <f aca="false">Q27/Q12</f>
        <v>0.0413509223172444</v>
      </c>
    </row>
    <row r="34" customFormat="false" ht="15" hidden="false" customHeight="true" outlineLevel="0" collapsed="false">
      <c r="A34" s="8" t="s">
        <v>488</v>
      </c>
      <c r="C34" s="34" t="n">
        <f aca="false">FFO_AFFO!C21/((BS!C18+BS!B18)/2)</f>
        <v>182.525756336877</v>
      </c>
      <c r="D34" s="34" t="n">
        <f aca="false">FFO_AFFO!D21/((BS!D18+BS!C18)/2)</f>
        <v>196.575660528423</v>
      </c>
      <c r="E34" s="34" t="n">
        <f aca="false">FFO_AFFO!E21/((BS!E18+BS!D18)/2)</f>
        <v>244.29721627409</v>
      </c>
      <c r="F34" s="34" t="n">
        <f aca="false">FFO_AFFO!F21/((BS!F18+BS!E18)/2)</f>
        <v>267.488409272582</v>
      </c>
      <c r="G34" s="34" t="n">
        <f aca="false">FFO_AFFO!G21/((BS!G18+BS!F18)/2)</f>
        <v>436.350084697911</v>
      </c>
      <c r="H34" s="34" t="n">
        <f aca="false">FFO_AFFO!H21/((BS!H18+BS!G18)/2)</f>
        <v>438.456983240223</v>
      </c>
      <c r="I34" s="34" t="n">
        <f aca="false">FFO_AFFO!I21/((BS!I18+BS!H18)/2)</f>
        <v>341.120136810603</v>
      </c>
      <c r="J34" s="34" t="n">
        <f aca="false">FFO_AFFO!J21/((BS!J18+BS!I18)/2)</f>
        <v>452.957777777778</v>
      </c>
      <c r="K34" s="34" t="n">
        <f aca="false">FFO_AFFO!K21/((BS!K18+BS!J18)/2)</f>
        <v>612.342857142857</v>
      </c>
      <c r="L34" s="34" t="n">
        <f aca="false">FFO_AFFO!L21/((BS!L18+BS!K18)/2)</f>
        <v>738.887272727273</v>
      </c>
      <c r="M34" s="34" t="n">
        <f aca="false">FFO_AFFO!M21/((BS!M18+BS!L18)/2)</f>
        <v>883.912959307556</v>
      </c>
      <c r="N34" s="34" t="n">
        <f aca="false">FFO_AFFO!N21/((BS!N18+BS!M18)/2)</f>
        <v>1005.2860116602</v>
      </c>
      <c r="O34" s="34" t="n">
        <f aca="false">FFO_AFFO!O21/((BS!O18+BS!N18)/2)</f>
        <v>1030.90891459883</v>
      </c>
      <c r="P34" s="34" t="n">
        <f aca="false">FFO_AFFO!P21/((BS!P18+BS!O18)/2)</f>
        <v>1055.67908314108</v>
      </c>
      <c r="Q34" s="34" t="n">
        <f aca="false">FFO_AFFO!Q21/((BS!Q18+BS!P18)/2)</f>
        <v>1085.64974899585</v>
      </c>
    </row>
    <row r="36" customFormat="false" ht="15" hidden="false" customHeight="true" outlineLevel="0" collapsed="false">
      <c r="A36" s="6" t="s">
        <v>489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customFormat="false" ht="15" hidden="false" customHeight="true" outlineLevel="0" collapsed="false">
      <c r="A37" s="8" t="s">
        <v>490</v>
      </c>
      <c r="C37" s="34" t="n">
        <f aca="false">C25/(C28-C16+B28-B16)*2</f>
        <v>0.0552721673780534</v>
      </c>
      <c r="D37" s="34" t="n">
        <f aca="false">D25/(D28-D16+C28-C16)*2</f>
        <v>0.0544416641574865</v>
      </c>
      <c r="E37" s="34" t="n">
        <f aca="false">E25/(E28-E16+D28-D16)*2</f>
        <v>0.0560700006608776</v>
      </c>
      <c r="F37" s="34" t="n">
        <f aca="false">F25/(F28-F16+E28-E16)*2</f>
        <v>0.0564982116033973</v>
      </c>
      <c r="G37" s="34" t="n">
        <f aca="false">G25/(G28-G16+F28-F16)*2</f>
        <v>0.0549926447690735</v>
      </c>
      <c r="H37" s="34" t="n">
        <f aca="false">H25/(H28-H16+G28-G16)*2</f>
        <v>0.0521626721003122</v>
      </c>
      <c r="I37" s="34" t="n">
        <f aca="false">I25/(I28-I16+H28-H16)*2</f>
        <v>0.0521144208198076</v>
      </c>
      <c r="J37" s="34" t="n">
        <f aca="false">J25/(J28-J16+I28-I16)*2</f>
        <v>0.0537587332547629</v>
      </c>
      <c r="K37" s="34" t="n">
        <f aca="false">K25/(K28-K16+J28-J16)*2</f>
        <v>0.0600258422302923</v>
      </c>
      <c r="L37" s="34" t="n">
        <f aca="false">L25/(L28-L16+K28-K16)*2</f>
        <v>0.0579242588154462</v>
      </c>
      <c r="M37" s="34" t="n">
        <f aca="false">M25/(M28-M16+L28-L16)*2</f>
        <v>0.056156612165559</v>
      </c>
      <c r="N37" s="34" t="n">
        <f aca="false">N25/(N28-N16+M28-M16)*2</f>
        <v>0.0548256582785561</v>
      </c>
      <c r="O37" s="34" t="n">
        <f aca="false">O25/(O28-O16+N28-N16)*2</f>
        <v>0.055594353166868</v>
      </c>
      <c r="P37" s="34" t="n">
        <f aca="false">P25/(P28-P16+O28-O16)*2</f>
        <v>0.0558534486554187</v>
      </c>
      <c r="Q37" s="34" t="n">
        <f aca="false">Q25/(Q28-Q16+P28-P16)*2</f>
        <v>0.0553096835444974</v>
      </c>
    </row>
    <row r="38" customFormat="false" ht="15" hidden="false" customHeight="true" outlineLevel="0" collapsed="false">
      <c r="A38" s="8" t="s">
        <v>491</v>
      </c>
      <c r="C38" s="34" t="n">
        <f aca="false">C27/C22</f>
        <v>0.0500621930995937</v>
      </c>
      <c r="D38" s="34" t="n">
        <f aca="false">D27/D22</f>
        <v>0.0497680101150667</v>
      </c>
      <c r="E38" s="34" t="n">
        <f aca="false">E27/E22</f>
        <v>0.0506606478610055</v>
      </c>
      <c r="F38" s="34" t="n">
        <f aca="false">F27/F22</f>
        <v>0.0517523761079447</v>
      </c>
      <c r="G38" s="34" t="n">
        <f aca="false">G27/G22</f>
        <v>0.0523203668919475</v>
      </c>
      <c r="H38" s="34" t="n">
        <f aca="false">H27/H22</f>
        <v>0.0492594856521267</v>
      </c>
      <c r="I38" s="34" t="n">
        <f aca="false">I27/I22</f>
        <v>0.0485364130420535</v>
      </c>
      <c r="J38" s="34" t="n">
        <f aca="false">J27/J22</f>
        <v>0.0497052634848963</v>
      </c>
      <c r="K38" s="34" t="n">
        <f aca="false">K27/K22</f>
        <v>0.0556881842861837</v>
      </c>
      <c r="L38" s="34" t="n">
        <f aca="false">L27/L22</f>
        <v>0.0531103307728595</v>
      </c>
      <c r="M38" s="34" t="n">
        <f aca="false">M27/M22</f>
        <v>0.0527855322148479</v>
      </c>
      <c r="N38" s="34" t="n">
        <f aca="false">N27/N22</f>
        <v>0.0520576075002502</v>
      </c>
      <c r="O38" s="34" t="n">
        <f aca="false">O27/O22</f>
        <v>0.05212996524777</v>
      </c>
      <c r="P38" s="34" t="n">
        <f aca="false">P27/P22</f>
        <v>0.052869483613904</v>
      </c>
      <c r="Q38" s="34" t="n">
        <f aca="false">Q27/Q22</f>
        <v>0.0535970589746303</v>
      </c>
    </row>
    <row r="40" customFormat="false" ht="15" hidden="false" customHeight="true" outlineLevel="0" collapsed="false">
      <c r="A40" s="6" t="s">
        <v>492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customFormat="false" ht="15" hidden="false" customHeight="true" outlineLevel="0" collapsed="false">
      <c r="A41" s="8" t="s">
        <v>493</v>
      </c>
      <c r="C41" s="31" t="n">
        <f aca="false">(C38-C33)*10000</f>
        <v>42.0744554290889</v>
      </c>
      <c r="D41" s="31" t="n">
        <f aca="false">(D38-D33)*10000</f>
        <v>62.4972910460098</v>
      </c>
      <c r="E41" s="31" t="n">
        <f aca="false">(E38-E33)*10000</f>
        <v>96.2386202937382</v>
      </c>
      <c r="F41" s="31" t="n">
        <f aca="false">(F38-F33)*10000</f>
        <v>123.278354823753</v>
      </c>
      <c r="G41" s="31" t="n">
        <f aca="false">(G38-G33)*10000</f>
        <v>134.423981116027</v>
      </c>
      <c r="H41" s="31" t="n">
        <f aca="false">(H38-H33)*10000</f>
        <v>136.72932489144</v>
      </c>
      <c r="I41" s="31" t="n">
        <f aca="false">(I38-I33)*10000</f>
        <v>133.840138776382</v>
      </c>
      <c r="J41" s="31" t="n">
        <f aca="false">(J38-J33)*10000</f>
        <v>118.175387133471</v>
      </c>
      <c r="K41" s="31" t="n">
        <f aca="false">(K38-K33)*10000</f>
        <v>125.972823476253</v>
      </c>
      <c r="L41" s="31" t="n">
        <f aca="false">(L38-L33)*10000</f>
        <v>126.232513028279</v>
      </c>
      <c r="M41" s="31" t="n">
        <f aca="false">(M38-M33)*10000</f>
        <v>125.292727480201</v>
      </c>
      <c r="N41" s="31" t="n">
        <f aca="false">(N38-N33)*10000</f>
        <v>123.937454721436</v>
      </c>
      <c r="O41" s="31" t="n">
        <f aca="false">(O38-O33)*10000</f>
        <v>123.086282436803</v>
      </c>
      <c r="P41" s="31" t="n">
        <f aca="false">(P38-P33)*10000</f>
        <v>122.903803473517</v>
      </c>
      <c r="Q41" s="31" t="n">
        <f aca="false">(Q38-Q33)*10000</f>
        <v>122.46136657386</v>
      </c>
    </row>
    <row r="42" customFormat="false" ht="15" hidden="false" customHeight="true" outlineLevel="0" collapsed="false">
      <c r="A42" s="8" t="s">
        <v>494</v>
      </c>
      <c r="B42" s="9" t="n">
        <f aca="false">B16/B28</f>
        <v>0.0728529506902089</v>
      </c>
      <c r="C42" s="9" t="n">
        <f aca="false">C16/C28</f>
        <v>0.0951757893236825</v>
      </c>
      <c r="D42" s="9" t="n">
        <f aca="false">D16/D28</f>
        <v>0.152397396696763</v>
      </c>
      <c r="E42" s="9" t="n">
        <f aca="false">E16/E28</f>
        <v>0.223879997066895</v>
      </c>
      <c r="F42" s="9" t="n">
        <f aca="false">F16/F28</f>
        <v>0.247164608115222</v>
      </c>
      <c r="G42" s="9" t="n">
        <f aca="false">G16/G28</f>
        <v>0.255512066157927</v>
      </c>
      <c r="H42" s="9" t="n">
        <f aca="false">H16/H28</f>
        <v>0.285440131016876</v>
      </c>
      <c r="I42" s="9" t="n">
        <f aca="false">I16/I28</f>
        <v>0.257276545847898</v>
      </c>
      <c r="J42" s="9" t="n">
        <f aca="false">J16/J28</f>
        <v>0.211628458968542</v>
      </c>
      <c r="K42" s="9" t="n">
        <f aca="false">K16/K28</f>
        <v>0.239242762585415</v>
      </c>
      <c r="L42" s="9" t="n">
        <f aca="false">L16/L28</f>
        <v>0.235700878019299</v>
      </c>
      <c r="M42" s="9" t="n">
        <f aca="false">M16/M28</f>
        <v>0.229023925499146</v>
      </c>
      <c r="N42" s="9" t="n">
        <f aca="false">N16/N28</f>
        <v>0.232580800554628</v>
      </c>
      <c r="O42" s="9" t="n">
        <f aca="false">O16/O28</f>
        <v>0.2300124459965</v>
      </c>
      <c r="P42" s="9" t="n">
        <f aca="false">P16/P28</f>
        <v>0.222287365433241</v>
      </c>
      <c r="Q42" s="9" t="n">
        <f aca="false">Q16/Q28</f>
        <v>0.214833892507334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A1:S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5"/>
    <col collapsed="false" customWidth="true" hidden="false" outlineLevel="0" max="17" min="2" style="1" width="13"/>
  </cols>
  <sheetData>
    <row r="1" customFormat="false" ht="1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495</v>
      </c>
    </row>
    <row r="3" customFormat="false" ht="15" hidden="false" customHeight="true" outlineLevel="0" collapsed="false">
      <c r="A3" s="4" t="s">
        <v>496</v>
      </c>
    </row>
    <row r="5" customFormat="false" ht="15" hidden="false" customHeight="true" outlineLevel="0" collapsed="false">
      <c r="B5" s="5" t="s">
        <v>233</v>
      </c>
      <c r="C5" s="5" t="s">
        <v>234</v>
      </c>
      <c r="D5" s="5" t="s">
        <v>235</v>
      </c>
      <c r="E5" s="5" t="s">
        <v>236</v>
      </c>
      <c r="F5" s="5" t="s">
        <v>237</v>
      </c>
      <c r="G5" s="5" t="s">
        <v>238</v>
      </c>
      <c r="H5" s="5" t="s">
        <v>239</v>
      </c>
      <c r="I5" s="5" t="s">
        <v>240</v>
      </c>
      <c r="J5" s="5" t="s">
        <v>241</v>
      </c>
      <c r="K5" s="5" t="s">
        <v>242</v>
      </c>
      <c r="L5" s="5" t="s">
        <v>243</v>
      </c>
      <c r="M5" s="5" t="s">
        <v>3</v>
      </c>
      <c r="N5" s="5" t="s">
        <v>4</v>
      </c>
      <c r="O5" s="5" t="s">
        <v>5</v>
      </c>
      <c r="P5" s="5" t="s">
        <v>6</v>
      </c>
      <c r="Q5" s="5" t="s">
        <v>7</v>
      </c>
    </row>
    <row r="7" customFormat="false" ht="15" hidden="false" customHeight="true" outlineLevel="0" collapsed="false">
      <c r="A7" s="6" t="s">
        <v>497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customFormat="false" ht="15" hidden="false" customHeight="true" outlineLevel="0" collapsed="false">
      <c r="A8" s="8" t="s">
        <v>498</v>
      </c>
    </row>
    <row r="9" customFormat="false" ht="15" hidden="false" customHeight="true" outlineLevel="0" collapsed="false">
      <c r="A9" s="8" t="s">
        <v>336</v>
      </c>
      <c r="H9" s="44" t="n">
        <v>4</v>
      </c>
      <c r="I9" s="44" t="n">
        <v>6</v>
      </c>
      <c r="J9" s="44" t="n">
        <v>8</v>
      </c>
      <c r="K9" s="44" t="n">
        <v>10</v>
      </c>
      <c r="L9" s="44" t="n">
        <v>12</v>
      </c>
    </row>
    <row r="10" customFormat="false" ht="15" hidden="false" customHeight="true" outlineLevel="0" collapsed="false">
      <c r="A10" s="8" t="s">
        <v>499</v>
      </c>
      <c r="H10" s="64" t="n">
        <v>0.95</v>
      </c>
      <c r="I10" s="64" t="n">
        <v>1.08</v>
      </c>
      <c r="J10" s="64" t="n">
        <v>1.25</v>
      </c>
      <c r="K10" s="64" t="n">
        <v>1.46</v>
      </c>
      <c r="L10" s="64" t="n">
        <v>1.75</v>
      </c>
    </row>
    <row r="12" customFormat="false" ht="15" hidden="false" customHeight="true" outlineLevel="0" collapsed="false">
      <c r="A12" s="6" t="s">
        <v>500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customFormat="false" ht="15" hidden="false" customHeight="true" outlineLevel="0" collapsed="false">
      <c r="A13" s="8" t="s">
        <v>501</v>
      </c>
      <c r="B13" s="45" t="n">
        <f aca="false">BS!B68/(IS!B11+IS!B15)</f>
        <v>10.8178478803075</v>
      </c>
      <c r="C13" s="45" t="n">
        <f aca="false">BS!C68/(IS!C11+IS!C15)</f>
        <v>10.5111762211112</v>
      </c>
      <c r="D13" s="45" t="n">
        <f aca="false">BS!D68/(IS!D11+IS!D15)</f>
        <v>11.1686134037911</v>
      </c>
      <c r="E13" s="45" t="n">
        <f aca="false">BS!E68/(IS!E11+IS!E15)</f>
        <v>10.7515824408509</v>
      </c>
      <c r="F13" s="45" t="n">
        <f aca="false">BS!F68/(IS!F11+IS!F15)</f>
        <v>10.678503851433</v>
      </c>
      <c r="G13" s="45" t="n">
        <f aca="false">BS!G68/(IS!G11+IS!G15)</f>
        <v>10.2934775090063</v>
      </c>
      <c r="H13" s="45" t="n">
        <f aca="false">BS!H68/(IS!H11+IS!H15)</f>
        <v>11.4762283240875</v>
      </c>
      <c r="I13" s="45" t="n">
        <f aca="false">BS!I68/(IS!I11+IS!I15)</f>
        <v>11.758194867363</v>
      </c>
      <c r="J13" s="45" t="n">
        <f aca="false">BS!J68/(IS!J11+IS!J15)</f>
        <v>11.1976133106392</v>
      </c>
      <c r="K13" s="45" t="n">
        <f aca="false">BS!K68/(IS!K11+IS!K15)</f>
        <v>8.91628945136378</v>
      </c>
      <c r="L13" s="45" t="n">
        <f aca="false">BS!L68/(IS!L11+IS!L15)</f>
        <v>9.9626387538791</v>
      </c>
      <c r="M13" s="45" t="n">
        <f aca="false">BS!M68/(IS!M11+IS!M15)</f>
        <v>9.72998729130967</v>
      </c>
      <c r="N13" s="45" t="n">
        <f aca="false">BS!N68/(IS!N11+IS!N15)</f>
        <v>9.8314459094552</v>
      </c>
      <c r="O13" s="45" t="n">
        <f aca="false">BS!O68/(IS!O11+IS!O15)</f>
        <v>9.90246300623688</v>
      </c>
      <c r="P13" s="45" t="n">
        <f aca="false">BS!P68/(IS!P11+IS!P15)</f>
        <v>9.82517929820973</v>
      </c>
      <c r="Q13" s="45" t="n">
        <f aca="false">BS!Q68/(IS!Q11+IS!Q15)</f>
        <v>9.71337143083951</v>
      </c>
    </row>
    <row r="14" customFormat="false" ht="15" hidden="false" customHeight="true" outlineLevel="0" collapsed="false">
      <c r="A14" s="8" t="s">
        <v>502</v>
      </c>
      <c r="B14" s="65" t="n">
        <f aca="false">Ops!B14</f>
        <v>0</v>
      </c>
      <c r="C14" s="65" t="n">
        <f aca="false">Ops!C14</f>
        <v>0</v>
      </c>
      <c r="D14" s="65" t="n">
        <f aca="false">Ops!D14</f>
        <v>0</v>
      </c>
      <c r="E14" s="65" t="n">
        <f aca="false">Ops!E14</f>
        <v>0</v>
      </c>
      <c r="F14" s="65" t="n">
        <f aca="false">Ops!F14</f>
        <v>0</v>
      </c>
      <c r="G14" s="65" t="n">
        <f aca="false">Ops!G14</f>
        <v>0</v>
      </c>
      <c r="H14" s="65" t="n">
        <f aca="false">Ops!H14</f>
        <v>0</v>
      </c>
      <c r="I14" s="65" t="n">
        <f aca="false">Ops!I14</f>
        <v>0</v>
      </c>
      <c r="J14" s="65" t="n">
        <f aca="false">Ops!J14</f>
        <v>0</v>
      </c>
      <c r="K14" s="65" t="n">
        <f aca="false">Ops!K14</f>
        <v>0</v>
      </c>
      <c r="L14" s="65" t="n">
        <f aca="false">Ops!L14</f>
        <v>0</v>
      </c>
      <c r="M14" s="65" t="n">
        <f aca="false">Ops!M14</f>
        <v>0</v>
      </c>
      <c r="N14" s="65" t="n">
        <f aca="false">Ops!N14</f>
        <v>0</v>
      </c>
      <c r="O14" s="65" t="n">
        <f aca="false">Ops!O14</f>
        <v>0</v>
      </c>
      <c r="P14" s="65" t="n">
        <f aca="false">Ops!P14</f>
        <v>0</v>
      </c>
      <c r="Q14" s="65" t="n">
        <f aca="false">Ops!Q14</f>
        <v>0</v>
      </c>
    </row>
    <row r="15" customFormat="false" ht="15" hidden="false" customHeight="true" outlineLevel="0" collapsed="false">
      <c r="A15" s="8" t="s">
        <v>187</v>
      </c>
      <c r="B15" s="39" t="n">
        <f aca="false">'CFS-FCF'!B29</f>
        <v>0</v>
      </c>
      <c r="C15" s="39" t="n">
        <f aca="false">'CFS-FCF'!C29</f>
        <v>1.56603916003684</v>
      </c>
      <c r="D15" s="39" t="n">
        <f aca="false">'CFS-FCF'!D29</f>
        <v>1.52963838987724</v>
      </c>
      <c r="E15" s="39" t="n">
        <f aca="false">'CFS-FCF'!E29</f>
        <v>1.62315241893532</v>
      </c>
      <c r="F15" s="39" t="n">
        <f aca="false">'CFS-FCF'!F29</f>
        <v>1.7394023190774</v>
      </c>
      <c r="G15" s="39" t="n">
        <f aca="false">'CFS-FCF'!G29</f>
        <v>1.94874602490477</v>
      </c>
      <c r="H15" s="39" t="n">
        <f aca="false">'CFS-FCF'!H29</f>
        <v>1.99353026011112</v>
      </c>
      <c r="I15" s="39" t="n">
        <f aca="false">'CFS-FCF'!I29</f>
        <v>2.06731649276954</v>
      </c>
      <c r="J15" s="39" t="n">
        <f aca="false">'CFS-FCF'!J29</f>
        <v>2.19998589206252</v>
      </c>
      <c r="K15" s="39" t="n">
        <f aca="false">'CFS-FCF'!K29</f>
        <v>2.39640576968551</v>
      </c>
      <c r="L15" s="39" t="n">
        <f aca="false">'CFS-FCF'!L29</f>
        <v>2.27698127364242</v>
      </c>
      <c r="M15" s="39" t="n">
        <f aca="false">'CFS-FCF'!M29</f>
        <v>2.17942357459319</v>
      </c>
      <c r="N15" s="39" t="n">
        <f aca="false">'CFS-FCF'!N29</f>
        <v>2.15986211448382</v>
      </c>
      <c r="O15" s="39" t="n">
        <f aca="false">'CFS-FCF'!O29</f>
        <v>2.19352547858811</v>
      </c>
      <c r="P15" s="39" t="n">
        <f aca="false">'CFS-FCF'!P29</f>
        <v>2.25706684641368</v>
      </c>
      <c r="Q15" s="39" t="n">
        <f aca="false">'CFS-FCF'!Q29</f>
        <v>2.33394872550977</v>
      </c>
    </row>
    <row r="16" customFormat="false" ht="15" hidden="false" customHeight="true" outlineLevel="0" collapsed="false">
      <c r="A16" s="8" t="s">
        <v>503</v>
      </c>
      <c r="C16" s="9" t="str">
        <f aca="false">IF(B15=0,"-",C15/B15-1)</f>
        <v>-</v>
      </c>
      <c r="D16" s="9" t="n">
        <f aca="false">IF(C15=0,"-",D15/C15-1)</f>
        <v>-0.0232438441441917</v>
      </c>
      <c r="E16" s="9" t="n">
        <f aca="false">IF(D15=0,"-",E15/D15-1)</f>
        <v>0.0611347294085554</v>
      </c>
      <c r="F16" s="9" t="n">
        <f aca="false">IF(E15=0,"-",F15/E15-1)</f>
        <v>0.0716198298976305</v>
      </c>
      <c r="G16" s="9" t="n">
        <f aca="false">IF(F15=0,"-",G15/F15-1)</f>
        <v>0.120353815521193</v>
      </c>
      <c r="H16" s="9" t="n">
        <f aca="false">IF(G15=0,"-",H15/G15-1)</f>
        <v>0.0229810527559842</v>
      </c>
      <c r="I16" s="9" t="n">
        <f aca="false">IF(H15=0,"-",I15/H15-1)</f>
        <v>0.0370128480790175</v>
      </c>
      <c r="J16" s="9" t="n">
        <f aca="false">IF(I15=0,"-",J15/I15-1)</f>
        <v>0.0641746920498112</v>
      </c>
      <c r="K16" s="9" t="n">
        <f aca="false">IF(J15=0,"-",K15/J15-1)</f>
        <v>0.0892823350966294</v>
      </c>
      <c r="L16" s="9" t="n">
        <f aca="false">IF(K15=0,"-",L15/K15-1)</f>
        <v>-0.0498348391385989</v>
      </c>
      <c r="M16" s="9" t="n">
        <f aca="false">IF(L15=0,"-",M15/L15-1)</f>
        <v>-0.042845191648487</v>
      </c>
      <c r="N16" s="9" t="n">
        <f aca="false">IF(M15=0,"-",N15/M15-1)</f>
        <v>-0.00897552010421987</v>
      </c>
      <c r="O16" s="9" t="n">
        <f aca="false">IF(N15=0,"-",O15/N15-1)</f>
        <v>0.0155858857278659</v>
      </c>
      <c r="P16" s="9" t="n">
        <f aca="false">IF(O15=0,"-",P15/O15-1)</f>
        <v>0.028967690799957</v>
      </c>
      <c r="Q16" s="9" t="n">
        <f aca="false">IF(P15=0,"-",Q15/P15-1)</f>
        <v>0.0340627390891175</v>
      </c>
    </row>
    <row r="18" customFormat="false" ht="15" hidden="false" customHeight="true" outlineLevel="0" collapsed="false">
      <c r="A18" s="6" t="s">
        <v>504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customFormat="false" ht="15" hidden="false" customHeight="true" outlineLevel="0" collapsed="false">
      <c r="A19" s="8" t="s">
        <v>505</v>
      </c>
      <c r="B19" s="64" t="n">
        <v>1.46</v>
      </c>
      <c r="C19" s="64" t="n">
        <v>1.46</v>
      </c>
      <c r="D19" s="64" t="n">
        <v>1.46</v>
      </c>
      <c r="E19" s="64" t="n">
        <v>1.46</v>
      </c>
      <c r="F19" s="64" t="n">
        <v>1.46</v>
      </c>
      <c r="G19" s="64" t="n">
        <v>1.46</v>
      </c>
      <c r="H19" s="64" t="n">
        <v>1.46</v>
      </c>
      <c r="I19" s="64" t="n">
        <v>1.46</v>
      </c>
      <c r="J19" s="64" t="n">
        <v>1.46</v>
      </c>
      <c r="K19" s="64" t="n">
        <v>1.46</v>
      </c>
      <c r="L19" s="64" t="n">
        <v>1.46</v>
      </c>
      <c r="M19" s="64" t="n">
        <v>1.46</v>
      </c>
      <c r="N19" s="64" t="n">
        <v>1.46</v>
      </c>
      <c r="O19" s="64" t="n">
        <v>1.46</v>
      </c>
      <c r="P19" s="64" t="n">
        <v>1.46</v>
      </c>
      <c r="Q19" s="64" t="n">
        <v>1.46</v>
      </c>
    </row>
    <row r="20" customFormat="false" ht="15" hidden="false" customHeight="true" outlineLevel="0" collapsed="false">
      <c r="A20" s="8" t="s">
        <v>506</v>
      </c>
      <c r="B20" s="9" t="n">
        <f aca="false">B14*B19</f>
        <v>0</v>
      </c>
      <c r="C20" s="9" t="n">
        <f aca="false">C14*C19</f>
        <v>0</v>
      </c>
      <c r="D20" s="9" t="n">
        <f aca="false">D14*D19</f>
        <v>0</v>
      </c>
      <c r="E20" s="9" t="n">
        <f aca="false">E14*E19</f>
        <v>0</v>
      </c>
      <c r="F20" s="9" t="n">
        <f aca="false">F14*F19</f>
        <v>0</v>
      </c>
      <c r="G20" s="9" t="n">
        <f aca="false">G14*G19</f>
        <v>0</v>
      </c>
      <c r="H20" s="9" t="n">
        <f aca="false">H14*H19</f>
        <v>0</v>
      </c>
      <c r="I20" s="9" t="n">
        <f aca="false">I14*I19</f>
        <v>0</v>
      </c>
      <c r="J20" s="9" t="n">
        <f aca="false">J14*J19</f>
        <v>0</v>
      </c>
      <c r="K20" s="9" t="n">
        <f aca="false">K14*K19</f>
        <v>0</v>
      </c>
      <c r="L20" s="9" t="n">
        <f aca="false">L14*L19</f>
        <v>0</v>
      </c>
      <c r="M20" s="9" t="n">
        <f aca="false">M14*M19</f>
        <v>0</v>
      </c>
      <c r="N20" s="9" t="n">
        <f aca="false">N14*N19</f>
        <v>0</v>
      </c>
      <c r="O20" s="9" t="n">
        <f aca="false">O14*O19</f>
        <v>0</v>
      </c>
      <c r="P20" s="9" t="n">
        <f aca="false">P14*P19</f>
        <v>0</v>
      </c>
      <c r="Q20" s="9" t="n">
        <f aca="false">Q14*Q19</f>
        <v>0</v>
      </c>
    </row>
    <row r="21" customFormat="false" ht="15" hidden="false" customHeight="true" outlineLevel="0" collapsed="false">
      <c r="A21" s="8" t="s">
        <v>507</v>
      </c>
      <c r="B21" s="9" t="n">
        <f aca="false">B16</f>
        <v>0</v>
      </c>
      <c r="C21" s="9" t="str">
        <f aca="false">C16</f>
        <v>-</v>
      </c>
      <c r="D21" s="9" t="n">
        <f aca="false">D16</f>
        <v>-0.0232438441441917</v>
      </c>
      <c r="E21" s="9" t="n">
        <f aca="false">E16</f>
        <v>0.0611347294085554</v>
      </c>
      <c r="F21" s="9" t="n">
        <f aca="false">F16</f>
        <v>0.0716198298976305</v>
      </c>
      <c r="G21" s="9" t="n">
        <f aca="false">G16</f>
        <v>0.120353815521193</v>
      </c>
      <c r="H21" s="9" t="n">
        <f aca="false">H16</f>
        <v>0.0229810527559842</v>
      </c>
      <c r="I21" s="9" t="n">
        <f aca="false">I16</f>
        <v>0.0370128480790175</v>
      </c>
      <c r="J21" s="9" t="n">
        <f aca="false">J16</f>
        <v>0.0641746920498112</v>
      </c>
      <c r="K21" s="9" t="n">
        <f aca="false">K16</f>
        <v>0.0892823350966294</v>
      </c>
      <c r="L21" s="9" t="n">
        <f aca="false">L16</f>
        <v>-0.0498348391385989</v>
      </c>
      <c r="M21" s="9" t="n">
        <f aca="false">M16</f>
        <v>-0.042845191648487</v>
      </c>
      <c r="N21" s="9" t="n">
        <f aca="false">N16</f>
        <v>-0.00897552010421987</v>
      </c>
      <c r="O21" s="9" t="n">
        <f aca="false">O16</f>
        <v>0.0155858857278659</v>
      </c>
      <c r="P21" s="9" t="n">
        <f aca="false">P16</f>
        <v>0.028967690799957</v>
      </c>
      <c r="Q21" s="9" t="n">
        <f aca="false">Q16</f>
        <v>0.0340627390891175</v>
      </c>
    </row>
    <row r="22" customFormat="false" ht="15" hidden="false" customHeight="true" outlineLevel="0" collapsed="false">
      <c r="A22" s="8" t="s">
        <v>508</v>
      </c>
      <c r="B22" s="31" t="n">
        <f aca="false">(B20-B21)*10000</f>
        <v>0</v>
      </c>
      <c r="C22" s="31" t="str">
        <f aca="false">IFERROR((C20-C21)*10000,"-")</f>
        <v>-</v>
      </c>
      <c r="D22" s="31" t="n">
        <f aca="false">IFERROR((D20-D21)*10000,"-")</f>
        <v>232.438441441917</v>
      </c>
      <c r="E22" s="31" t="n">
        <f aca="false">IFERROR((E20-E21)*10000,"-")</f>
        <v>-611.347294085554</v>
      </c>
      <c r="F22" s="31" t="n">
        <f aca="false">IFERROR((F20-F21)*10000,"-")</f>
        <v>-716.198298976305</v>
      </c>
      <c r="G22" s="31" t="n">
        <f aca="false">IFERROR((G20-G21)*10000,"-")</f>
        <v>-1203.53815521193</v>
      </c>
      <c r="H22" s="31" t="n">
        <f aca="false">IFERROR((H20-H21)*10000,"-")</f>
        <v>-229.810527559842</v>
      </c>
      <c r="I22" s="31" t="n">
        <f aca="false">IFERROR((I20-I21)*10000,"-")</f>
        <v>-370.128480790175</v>
      </c>
      <c r="J22" s="31" t="n">
        <f aca="false">IFERROR((J20-J21)*10000,"-")</f>
        <v>-641.746920498112</v>
      </c>
      <c r="K22" s="31" t="n">
        <f aca="false">IFERROR((K20-K21)*10000,"-")</f>
        <v>-892.823350966294</v>
      </c>
      <c r="L22" s="31" t="n">
        <f aca="false">IFERROR((L20-L21)*10000,"-")</f>
        <v>498.348391385989</v>
      </c>
      <c r="M22" s="31" t="n">
        <f aca="false">IFERROR((M20-M21)*10000,"-")</f>
        <v>428.45191648487</v>
      </c>
      <c r="N22" s="31" t="n">
        <f aca="false">IFERROR((N20-N21)*10000,"-")</f>
        <v>89.7552010421987</v>
      </c>
      <c r="O22" s="31" t="n">
        <f aca="false">IFERROR((O20-O21)*10000,"-")</f>
        <v>-155.858857278659</v>
      </c>
      <c r="P22" s="31" t="n">
        <f aca="false">IFERROR((P20-P21)*10000,"-")</f>
        <v>-289.67690799957</v>
      </c>
      <c r="Q22" s="31" t="n">
        <f aca="false">IFERROR((Q20-Q21)*10000,"-")</f>
        <v>-340.627390891175</v>
      </c>
    </row>
    <row r="23" customFormat="false" ht="15" hidden="false" customHeight="true" outlineLevel="0" collapsed="false">
      <c r="A23" s="8" t="s">
        <v>509</v>
      </c>
      <c r="C23" s="66" t="str">
        <f aca="false">IFERROR(IF(C14=0,"-",C16/C14),"-")</f>
        <v>-</v>
      </c>
      <c r="D23" s="66" t="str">
        <f aca="false">IFERROR(IF(D14=0,"-",D16/D14),"-")</f>
        <v>-</v>
      </c>
      <c r="E23" s="66" t="str">
        <f aca="false">IFERROR(IF(E14=0,"-",E16/E14),"-")</f>
        <v>-</v>
      </c>
      <c r="F23" s="66" t="str">
        <f aca="false">IFERROR(IF(F14=0,"-",F16/F14),"-")</f>
        <v>-</v>
      </c>
      <c r="G23" s="66" t="str">
        <f aca="false">IFERROR(IF(G14=0,"-",G16/G14),"-")</f>
        <v>-</v>
      </c>
      <c r="H23" s="66" t="str">
        <f aca="false">IFERROR(IF(H14=0,"-",H16/H14),"-")</f>
        <v>-</v>
      </c>
      <c r="I23" s="66" t="str">
        <f aca="false">IFERROR(IF(I14=0,"-",I16/I14),"-")</f>
        <v>-</v>
      </c>
      <c r="J23" s="66" t="str">
        <f aca="false">IFERROR(IF(J14=0,"-",J16/J14),"-")</f>
        <v>-</v>
      </c>
      <c r="K23" s="66" t="str">
        <f aca="false">IFERROR(IF(K14=0,"-",K16/K14),"-")</f>
        <v>-</v>
      </c>
      <c r="L23" s="66" t="str">
        <f aca="false">IFERROR(IF(L14=0,"-",L16/L14),"-")</f>
        <v>-</v>
      </c>
      <c r="M23" s="66" t="str">
        <f aca="false">IFERROR(IF(M14=0,"-",M16/M14),"-")</f>
        <v>-</v>
      </c>
      <c r="N23" s="66" t="str">
        <f aca="false">IFERROR(IF(N14=0,"-",N16/N14),"-")</f>
        <v>-</v>
      </c>
      <c r="O23" s="66" t="str">
        <f aca="false">IFERROR(IF(O14=0,"-",O16/O14),"-")</f>
        <v>-</v>
      </c>
      <c r="P23" s="66" t="str">
        <f aca="false">IFERROR(IF(P14=0,"-",P16/P14),"-")</f>
        <v>-</v>
      </c>
      <c r="Q23" s="66" t="str">
        <f aca="false">IFERROR(IF(Q14=0,"-",Q16/Q14),"-")</f>
        <v>-</v>
      </c>
    </row>
    <row r="25" customFormat="false" ht="15" hidden="false" customHeight="true" outlineLevel="0" collapsed="false">
      <c r="A25" s="6" t="s">
        <v>510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customFormat="false" ht="15" hidden="false" customHeight="true" outlineLevel="0" collapsed="false">
      <c r="A26" s="8" t="s">
        <v>511</v>
      </c>
      <c r="C26" s="9" t="n">
        <f aca="false">IF(IS!B17=0,"-",IS!C17/IS!B17-1)</f>
        <v>0.0866202987673301</v>
      </c>
      <c r="D26" s="9" t="n">
        <f aca="false">IF(IS!C17=0,"-",IS!D17/IS!C17-1)</f>
        <v>0.0751214523139863</v>
      </c>
      <c r="E26" s="9" t="n">
        <f aca="false">IF(IS!D17=0,"-",IS!E17/IS!D17-1)</f>
        <v>0.0718781709791985</v>
      </c>
      <c r="F26" s="9" t="n">
        <f aca="false">IF(IS!E17=0,"-",IS!F17/IS!E17-1)</f>
        <v>3.69792398546842E-005</v>
      </c>
      <c r="G26" s="9" t="n">
        <f aca="false">IF(IS!F17=0,"-",IS!G17/IS!F17-1)</f>
        <v>0.217496450124246</v>
      </c>
      <c r="H26" s="9" t="n">
        <f aca="false">IF(IS!G17=0,"-",IS!H17/IS!G17-1)</f>
        <v>-0.0252817008352316</v>
      </c>
      <c r="I26" s="9" t="n">
        <f aca="false">IF(IS!H17=0,"-",IS!I17/IS!H17-1)</f>
        <v>0.139633435745312</v>
      </c>
      <c r="J26" s="9" t="n">
        <f aca="false">IF(IS!I17=0,"-",IS!J17/IS!I17-1)</f>
        <v>0.170488163658138</v>
      </c>
      <c r="K26" s="9" t="n">
        <f aca="false">IF(IS!J17=0,"-",IS!K17/IS!J17-1)</f>
        <v>0.0399213253225943</v>
      </c>
      <c r="L26" s="9" t="n">
        <f aca="false">IF(IS!K17=0,"-",IS!L17/IS!K17-1)</f>
        <v>-0.131833721938443</v>
      </c>
      <c r="M26" s="9" t="n">
        <f aca="false">IF(IS!L17=0,"-",IS!M17/IS!L17-1)</f>
        <v>-0.0366504310567878</v>
      </c>
      <c r="N26" s="9" t="n">
        <f aca="false">IF(IS!M17=0,"-",IS!N17/IS!M17-1)</f>
        <v>-0.0255913652811971</v>
      </c>
      <c r="O26" s="9" t="n">
        <f aca="false">IF(IS!N17=0,"-",IS!O17/IS!N17-1)</f>
        <v>0.0103473871409596</v>
      </c>
      <c r="P26" s="9" t="n">
        <f aca="false">IF(IS!O17=0,"-",IS!P17/IS!O17-1)</f>
        <v>0.0578405700316143</v>
      </c>
      <c r="Q26" s="9" t="n">
        <f aca="false">IF(IS!P17=0,"-",IS!Q17/IS!P17-1)</f>
        <v>0.0531437783409559</v>
      </c>
    </row>
    <row r="27" customFormat="false" ht="15" hidden="false" customHeight="true" outlineLevel="0" collapsed="false">
      <c r="A27" s="8" t="s">
        <v>512</v>
      </c>
      <c r="B27" s="31" t="n">
        <f aca="false">(B26-B14)*10000</f>
        <v>0</v>
      </c>
      <c r="C27" s="31" t="n">
        <f aca="false">(C26-C14)*10000</f>
        <v>866.202987673301</v>
      </c>
      <c r="D27" s="31" t="n">
        <f aca="false">(D26-D14)*10000</f>
        <v>751.214523139863</v>
      </c>
      <c r="E27" s="31" t="n">
        <f aca="false">(E26-E14)*10000</f>
        <v>718.781709791985</v>
      </c>
      <c r="F27" s="31" t="n">
        <f aca="false">(F26-F14)*10000</f>
        <v>0.369792398546842</v>
      </c>
      <c r="G27" s="31" t="n">
        <f aca="false">(G26-G14)*10000</f>
        <v>2174.96450124246</v>
      </c>
      <c r="H27" s="31" t="n">
        <f aca="false">(H26-H14)*10000</f>
        <v>-252.817008352316</v>
      </c>
      <c r="I27" s="31" t="n">
        <f aca="false">(I26-I14)*10000</f>
        <v>1396.33435745312</v>
      </c>
      <c r="J27" s="31" t="n">
        <f aca="false">(J26-J14)*10000</f>
        <v>1704.88163658138</v>
      </c>
      <c r="K27" s="31" t="n">
        <f aca="false">(K26-K14)*10000</f>
        <v>399.213253225943</v>
      </c>
      <c r="L27" s="31" t="n">
        <f aca="false">(L26-L14)*10000</f>
        <v>-1318.33721938443</v>
      </c>
      <c r="M27" s="31" t="n">
        <f aca="false">(M26-M14)*10000</f>
        <v>-366.504310567878</v>
      </c>
      <c r="N27" s="31" t="n">
        <f aca="false">(N26-N14)*10000</f>
        <v>-255.913652811971</v>
      </c>
      <c r="O27" s="31" t="n">
        <f aca="false">(O26-O14)*10000</f>
        <v>103.473871409596</v>
      </c>
      <c r="P27" s="31" t="n">
        <f aca="false">(P26-P14)*10000</f>
        <v>578.405700316142</v>
      </c>
      <c r="Q27" s="31" t="n">
        <f aca="false">(Q26-Q14)*10000</f>
        <v>531.437783409559</v>
      </c>
    </row>
    <row r="28" customFormat="false" ht="15" hidden="false" customHeight="true" outlineLevel="0" collapsed="false">
      <c r="A28" s="8" t="s">
        <v>513</v>
      </c>
      <c r="C28" s="9" t="n">
        <f aca="false">IF(IS!B42=0,"-",IS!C42/IS!B42-1)</f>
        <v>0.104697897036506</v>
      </c>
      <c r="D28" s="9" t="n">
        <f aca="false">IF(IS!C42=0,"-",IS!D42/IS!C42-1)</f>
        <v>0.0403526516809831</v>
      </c>
      <c r="E28" s="9" t="n">
        <f aca="false">IF(IS!D42=0,"-",IS!E42/IS!D42-1)</f>
        <v>0.0460501494616479</v>
      </c>
      <c r="F28" s="9" t="n">
        <f aca="false">IF(IS!E42=0,"-",IS!F42/IS!E42-1)</f>
        <v>0.103624067972949</v>
      </c>
      <c r="G28" s="9" t="n">
        <f aca="false">IF(IS!F42=0,"-",IS!G42/IS!F42-1)</f>
        <v>0.0790560286585174</v>
      </c>
      <c r="H28" s="9" t="n">
        <f aca="false">IF(IS!G42=0,"-",IS!H42/IS!G42-1)</f>
        <v>0.0136696681305113</v>
      </c>
      <c r="I28" s="9" t="n">
        <f aca="false">IF(IS!H42=0,"-",IS!I42/IS!H42-1)</f>
        <v>0.0044529737245822</v>
      </c>
      <c r="J28" s="9" t="n">
        <f aca="false">IF(IS!I42=0,"-",IS!J42/IS!I42-1)</f>
        <v>-0.0268796906461651</v>
      </c>
      <c r="K28" s="9" t="n">
        <f aca="false">IF(IS!J42=0,"-",IS!K42/IS!J42-1)</f>
        <v>-0.00562554006948157</v>
      </c>
      <c r="L28" s="9" t="n">
        <f aca="false">IF(IS!K42=0,"-",IS!L42/IS!K42-1)</f>
        <v>-0.0545341688342398</v>
      </c>
      <c r="M28" s="9" t="n">
        <f aca="false">IF(IS!L42=0,"-",IS!M42/IS!L42-1)</f>
        <v>-0.0195236356334996</v>
      </c>
      <c r="N28" s="9" t="n">
        <f aca="false">IF(IS!M42=0,"-",IS!N42/IS!M42-1)</f>
        <v>-0.00562144431240852</v>
      </c>
      <c r="O28" s="9" t="n">
        <f aca="false">IF(IS!N42=0,"-",IS!O42/IS!N42-1)</f>
        <v>0</v>
      </c>
      <c r="P28" s="9" t="n">
        <f aca="false">IF(IS!O42=0,"-",IS!P42/IS!O42-1)</f>
        <v>0</v>
      </c>
      <c r="Q28" s="9" t="n">
        <f aca="false">IF(IS!P42=0,"-",IS!Q42/IS!P42-1)</f>
        <v>0</v>
      </c>
    </row>
    <row r="29" customFormat="false" ht="15" hidden="false" customHeight="true" outlineLevel="0" collapsed="false">
      <c r="A29" s="8" t="s">
        <v>514</v>
      </c>
      <c r="B29" s="31" t="n">
        <f aca="false">B28*10000</f>
        <v>0</v>
      </c>
      <c r="C29" s="31" t="n">
        <f aca="false">C28*10000</f>
        <v>1046.97897036506</v>
      </c>
      <c r="D29" s="31" t="n">
        <f aca="false">D28*10000</f>
        <v>403.526516809831</v>
      </c>
      <c r="E29" s="31" t="n">
        <f aca="false">E28*10000</f>
        <v>460.501494616479</v>
      </c>
      <c r="F29" s="31" t="n">
        <f aca="false">F28*10000</f>
        <v>1036.24067972949</v>
      </c>
      <c r="G29" s="31" t="n">
        <f aca="false">G28*10000</f>
        <v>790.560286585174</v>
      </c>
      <c r="H29" s="31" t="n">
        <f aca="false">H28*10000</f>
        <v>136.696681305113</v>
      </c>
      <c r="I29" s="31" t="n">
        <f aca="false">I28*10000</f>
        <v>44.529737245822</v>
      </c>
      <c r="J29" s="31" t="n">
        <f aca="false">J28*10000</f>
        <v>-268.796906461651</v>
      </c>
      <c r="K29" s="31" t="n">
        <f aca="false">K28*10000</f>
        <v>-56.2554006948157</v>
      </c>
      <c r="L29" s="31" t="n">
        <f aca="false">L28*10000</f>
        <v>-545.341688342398</v>
      </c>
      <c r="M29" s="31" t="n">
        <f aca="false">M28*10000</f>
        <v>-195.236356334996</v>
      </c>
      <c r="N29" s="31" t="n">
        <f aca="false">N28*10000</f>
        <v>-56.2144431240852</v>
      </c>
      <c r="O29" s="31" t="n">
        <f aca="false">O28*10000</f>
        <v>0</v>
      </c>
      <c r="P29" s="31" t="n">
        <f aca="false">P28*10000</f>
        <v>0</v>
      </c>
      <c r="Q29" s="31" t="n">
        <f aca="false">Q28*10000</f>
        <v>0</v>
      </c>
    </row>
    <row r="30" customFormat="false" ht="15" hidden="false" customHeight="true" outlineLevel="0" collapsed="false">
      <c r="A30" s="8" t="s">
        <v>515</v>
      </c>
      <c r="B30" s="9" t="n">
        <f aca="false">Ops!B32/IS!B11</f>
        <v>0</v>
      </c>
      <c r="C30" s="9" t="n">
        <f aca="false">Ops!C32/IS!C11</f>
        <v>0</v>
      </c>
      <c r="D30" s="9" t="n">
        <f aca="false">Ops!D32/IS!D11</f>
        <v>0</v>
      </c>
      <c r="E30" s="9" t="n">
        <f aca="false">Ops!E32/IS!E11</f>
        <v>0</v>
      </c>
      <c r="F30" s="9" t="n">
        <f aca="false">Ops!F32/IS!F11</f>
        <v>0.718150152514022</v>
      </c>
      <c r="G30" s="9" t="n">
        <f aca="false">Ops!G32/IS!G11</f>
        <v>0.568231543954989</v>
      </c>
      <c r="H30" s="9" t="n">
        <f aca="false">Ops!H32/IS!H11</f>
        <v>0.584752611915219</v>
      </c>
      <c r="I30" s="9" t="n">
        <f aca="false">Ops!I32/IS!I11</f>
        <v>0.372994531133487</v>
      </c>
      <c r="J30" s="9" t="n">
        <f aca="false">Ops!J32/IS!J11</f>
        <v>0.269234655434723</v>
      </c>
      <c r="K30" s="9" t="n">
        <f aca="false">Ops!K32/IS!K11</f>
        <v>0.232692902522945</v>
      </c>
      <c r="L30" s="9" t="n">
        <f aca="false">Ops!L32/IS!L11</f>
        <v>0.129364505110056</v>
      </c>
      <c r="M30" s="65" t="n">
        <f aca="false">Assumptions!B68/IS!M11</f>
        <v>0.315650056371503</v>
      </c>
      <c r="N30" s="65" t="n">
        <f aca="false">Assumptions!C68/IS!N11</f>
        <v>0.32658037075099</v>
      </c>
      <c r="O30" s="65" t="n">
        <f aca="false">Assumptions!D68/IS!O11</f>
        <v>0.329987543515006</v>
      </c>
      <c r="P30" s="65" t="n">
        <f aca="false">Assumptions!E68/IS!P11</f>
        <v>0.325682747195232</v>
      </c>
      <c r="Q30" s="65" t="n">
        <f aca="false">Assumptions!F68/IS!Q11</f>
        <v>0.321313069698967</v>
      </c>
    </row>
    <row r="31" customFormat="false" ht="15" hidden="false" customHeight="true" outlineLevel="0" collapsed="false">
      <c r="A31" s="8" t="s">
        <v>516</v>
      </c>
      <c r="B31" s="31" t="n">
        <f aca="false">(B30-0.15)*10000</f>
        <v>-1500</v>
      </c>
      <c r="C31" s="31" t="n">
        <f aca="false">(C30-0.15)*10000</f>
        <v>-1500</v>
      </c>
      <c r="D31" s="31" t="n">
        <f aca="false">(D30-0.15)*10000</f>
        <v>-1500</v>
      </c>
      <c r="E31" s="31" t="n">
        <f aca="false">(E30-0.15)*10000</f>
        <v>-1500</v>
      </c>
      <c r="F31" s="31" t="n">
        <f aca="false">(F30-0.15)*10000</f>
        <v>5681.50152514022</v>
      </c>
      <c r="G31" s="31" t="n">
        <f aca="false">(G30-0.15)*10000</f>
        <v>4182.31543954989</v>
      </c>
      <c r="H31" s="31" t="n">
        <f aca="false">(H30-0.15)*10000</f>
        <v>4347.52611915219</v>
      </c>
      <c r="I31" s="31" t="n">
        <f aca="false">(I30-0.15)*10000</f>
        <v>2229.94531133487</v>
      </c>
      <c r="J31" s="31" t="n">
        <f aca="false">(J30-0.15)*10000</f>
        <v>1192.34655434723</v>
      </c>
      <c r="K31" s="31" t="n">
        <f aca="false">(K30-0.15)*10000</f>
        <v>826.929025229452</v>
      </c>
      <c r="L31" s="31" t="n">
        <f aca="false">(L30-0.15)*10000</f>
        <v>-206.354948899437</v>
      </c>
      <c r="M31" s="31" t="n">
        <f aca="false">(M30-0.15)*10000</f>
        <v>1656.50056371503</v>
      </c>
      <c r="N31" s="31" t="n">
        <f aca="false">(N30-0.15)*10000</f>
        <v>1765.8037075099</v>
      </c>
      <c r="O31" s="31" t="n">
        <f aca="false">(O30-0.15)*10000</f>
        <v>1799.87543515006</v>
      </c>
      <c r="P31" s="31" t="n">
        <f aca="false">(P30-0.15)*10000</f>
        <v>1756.82747195232</v>
      </c>
      <c r="Q31" s="31" t="n">
        <f aca="false">(Q30-0.15)*10000</f>
        <v>1713.13069698967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F0000"/>
    <pageSetUpPr fitToPage="false"/>
  </sheetPr>
  <dimension ref="A1:S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5"/>
    <col collapsed="false" customWidth="true" hidden="false" outlineLevel="0" max="17" min="2" style="1" width="13"/>
  </cols>
  <sheetData>
    <row r="1" customFormat="false" ht="1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517</v>
      </c>
    </row>
    <row r="3" customFormat="false" ht="15" hidden="false" customHeight="true" outlineLevel="0" collapsed="false">
      <c r="A3" s="4" t="s">
        <v>518</v>
      </c>
    </row>
    <row r="5" customFormat="false" ht="15" hidden="false" customHeight="true" outlineLevel="0" collapsed="false">
      <c r="B5" s="5" t="s">
        <v>233</v>
      </c>
      <c r="C5" s="5" t="s">
        <v>234</v>
      </c>
      <c r="D5" s="5" t="s">
        <v>235</v>
      </c>
      <c r="E5" s="5" t="s">
        <v>236</v>
      </c>
      <c r="F5" s="5" t="s">
        <v>237</v>
      </c>
      <c r="G5" s="5" t="s">
        <v>238</v>
      </c>
      <c r="H5" s="5" t="s">
        <v>239</v>
      </c>
      <c r="I5" s="5" t="s">
        <v>240</v>
      </c>
      <c r="J5" s="5" t="s">
        <v>241</v>
      </c>
      <c r="K5" s="5" t="s">
        <v>242</v>
      </c>
      <c r="L5" s="5" t="s">
        <v>243</v>
      </c>
      <c r="M5" s="5" t="s">
        <v>3</v>
      </c>
      <c r="N5" s="5" t="s">
        <v>4</v>
      </c>
      <c r="O5" s="5" t="s">
        <v>5</v>
      </c>
      <c r="P5" s="5" t="s">
        <v>6</v>
      </c>
      <c r="Q5" s="5" t="s">
        <v>7</v>
      </c>
    </row>
    <row r="7" customFormat="false" ht="15" hidden="false" customHeight="true" outlineLevel="0" collapsed="false">
      <c r="A7" s="6" t="s">
        <v>519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customFormat="false" ht="15" hidden="false" customHeight="true" outlineLevel="0" collapsed="false">
      <c r="A8" s="8" t="s">
        <v>520</v>
      </c>
      <c r="B8" s="35" t="n">
        <v>100467</v>
      </c>
      <c r="C8" s="35" t="n">
        <v>109097</v>
      </c>
      <c r="D8" s="35" t="n">
        <v>111138</v>
      </c>
      <c r="E8" s="35" t="n">
        <v>114271</v>
      </c>
      <c r="F8" s="35" t="n">
        <v>119609</v>
      </c>
      <c r="G8" s="35" t="n">
        <v>130398</v>
      </c>
      <c r="H8" s="35" t="n">
        <v>133665</v>
      </c>
      <c r="I8" s="35" t="n">
        <v>156266</v>
      </c>
      <c r="J8" s="35" t="n">
        <v>184586</v>
      </c>
      <c r="K8" s="35" t="n">
        <v>197773</v>
      </c>
      <c r="L8" s="35" t="n">
        <v>171831</v>
      </c>
      <c r="M8" s="27" t="n">
        <f aca="false">Assumptions!B53+Assumptions!B57</f>
        <v>183963.4508</v>
      </c>
      <c r="N8" s="27" t="n">
        <f aca="false">Assumptions!C53+Assumptions!C57</f>
        <v>179199.273928569</v>
      </c>
      <c r="O8" s="27" t="n">
        <f aca="false">Assumptions!D53+Assumptions!D57</f>
        <v>181076.282442997</v>
      </c>
      <c r="P8" s="27" t="n">
        <f aca="false">Assumptions!E53+Assumptions!E57</f>
        <v>191677.087092775</v>
      </c>
      <c r="Q8" s="27" t="n">
        <f aca="false">Assumptions!F53+Assumptions!F57</f>
        <v>201980.448034624</v>
      </c>
    </row>
    <row r="9" customFormat="false" ht="15" hidden="false" customHeight="true" outlineLevel="0" collapsed="false">
      <c r="A9" s="8" t="s">
        <v>521</v>
      </c>
      <c r="C9" s="9" t="n">
        <f aca="false">C8/B8-1</f>
        <v>0.0858988523594813</v>
      </c>
      <c r="D9" s="9" t="n">
        <f aca="false">D8/C8-1</f>
        <v>0.0187081221298477</v>
      </c>
      <c r="E9" s="9" t="n">
        <f aca="false">E8/D8-1</f>
        <v>0.0281901779769296</v>
      </c>
      <c r="F9" s="9" t="n">
        <f aca="false">F8/E8-1</f>
        <v>0.0467135143649744</v>
      </c>
      <c r="G9" s="9" t="n">
        <f aca="false">G8/F8-1</f>
        <v>0.090202242306181</v>
      </c>
      <c r="H9" s="9" t="n">
        <f aca="false">H8/G8-1</f>
        <v>0.0250540652463995</v>
      </c>
      <c r="I9" s="9" t="n">
        <f aca="false">I8/H8-1</f>
        <v>0.169086896345341</v>
      </c>
      <c r="J9" s="9" t="n">
        <f aca="false">J8/I8-1</f>
        <v>0.181229442105128</v>
      </c>
      <c r="K9" s="9" t="n">
        <f aca="false">K8/J8-1</f>
        <v>0.071440954351901</v>
      </c>
      <c r="L9" s="9" t="n">
        <f aca="false">L8/K8-1</f>
        <v>-0.131170584457939</v>
      </c>
      <c r="M9" s="9" t="n">
        <f aca="false">M8/L8-1</f>
        <v>0.0706068800158295</v>
      </c>
      <c r="N9" s="9" t="n">
        <f aca="false">N8/M8-1</f>
        <v>-0.0258974097882653</v>
      </c>
      <c r="O9" s="9" t="n">
        <f aca="false">O8/N8-1</f>
        <v>0.0104744203102971</v>
      </c>
      <c r="P9" s="9" t="n">
        <f aca="false">P8/O8-1</f>
        <v>0.0585433084154201</v>
      </c>
      <c r="Q9" s="9" t="n">
        <f aca="false">Q8/P8-1</f>
        <v>0.0537537433301125</v>
      </c>
    </row>
    <row r="10" customFormat="false" ht="15" hidden="false" customHeight="true" outlineLevel="0" collapsed="false">
      <c r="A10" s="8" t="s">
        <v>522</v>
      </c>
      <c r="B10" s="9" t="n">
        <f aca="false">B8/IS!B11</f>
        <v>0.309496817758938</v>
      </c>
      <c r="C10" s="9" t="n">
        <f aca="false">C8/IS!C11</f>
        <v>0.297309965744372</v>
      </c>
      <c r="D10" s="9" t="n">
        <f aca="false">D8/IS!D11</f>
        <v>0.282608363974795</v>
      </c>
      <c r="E10" s="9" t="n">
        <f aca="false">E8/IS!E11</f>
        <v>0.260265205349659</v>
      </c>
      <c r="F10" s="9" t="n">
        <f aca="false">F8/IS!F11</f>
        <v>0.235381285053626</v>
      </c>
      <c r="G10" s="9" t="n">
        <f aca="false">G8/IS!G11</f>
        <v>0.225535351997938</v>
      </c>
      <c r="H10" s="9" t="n">
        <f aca="false">H8/IS!H11</f>
        <v>0.219125465374193</v>
      </c>
      <c r="I10" s="9" t="n">
        <f aca="false">I8/IS!I11</f>
        <v>0.240258053009722</v>
      </c>
      <c r="J10" s="9" t="n">
        <f aca="false">J8/IS!J11</f>
        <v>0.266440141688775</v>
      </c>
      <c r="K10" s="9" t="n">
        <f aca="false">K8/IS!K11</f>
        <v>0.270679418712551</v>
      </c>
      <c r="L10" s="9" t="n">
        <f aca="false">L8/IS!L11</f>
        <v>0.262854686551091</v>
      </c>
      <c r="M10" s="9" t="n">
        <f aca="false">M8/IS!M11</f>
        <v>0.285487087587592</v>
      </c>
      <c r="N10" s="9" t="n">
        <f aca="false">N8/IS!N11</f>
        <v>0.282412668924601</v>
      </c>
      <c r="O10" s="9" t="n">
        <f aca="false">O8/IS!O11</f>
        <v>0.282219471636293</v>
      </c>
      <c r="P10" s="9" t="n">
        <f aca="false">P8/IS!P11</f>
        <v>0.288708152613041</v>
      </c>
      <c r="Q10" s="9" t="n">
        <f aca="false">Q8/IS!Q11</f>
        <v>0.29402631227626</v>
      </c>
    </row>
    <row r="12" customFormat="false" ht="15" hidden="false" customHeight="true" outlineLevel="0" collapsed="false">
      <c r="A12" s="6" t="s">
        <v>523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customFormat="false" ht="15" hidden="false" customHeight="true" outlineLevel="0" collapsed="false">
      <c r="A13" s="8" t="s">
        <v>131</v>
      </c>
      <c r="B13" s="30" t="n">
        <f aca="false">IS!B42</f>
        <v>119926</v>
      </c>
      <c r="C13" s="30" t="n">
        <f aca="false">IS!C42</f>
        <v>132482</v>
      </c>
      <c r="D13" s="30" t="n">
        <f aca="false">IS!D42</f>
        <v>137828</v>
      </c>
      <c r="E13" s="30" t="n">
        <f aca="false">IS!E42</f>
        <v>144175</v>
      </c>
      <c r="F13" s="30" t="n">
        <f aca="false">IS!F42</f>
        <v>159115</v>
      </c>
      <c r="G13" s="30" t="n">
        <f aca="false">IS!G42</f>
        <v>171694</v>
      </c>
      <c r="H13" s="30" t="n">
        <f aca="false">IS!H42</f>
        <v>174041</v>
      </c>
      <c r="I13" s="30" t="n">
        <f aca="false">IS!I42</f>
        <v>174816</v>
      </c>
      <c r="J13" s="30" t="n">
        <f aca="false">IS!J42</f>
        <v>170117</v>
      </c>
      <c r="K13" s="30" t="n">
        <f aca="false">IS!K42</f>
        <v>169160</v>
      </c>
      <c r="L13" s="30" t="n">
        <f aca="false">IS!L42</f>
        <v>159935</v>
      </c>
      <c r="M13" s="30" t="n">
        <f aca="false">IS!M42</f>
        <v>156812.487334956</v>
      </c>
      <c r="N13" s="30" t="n">
        <f aca="false">IS!N42</f>
        <v>155930.974669913</v>
      </c>
      <c r="O13" s="30" t="n">
        <f aca="false">IS!O42</f>
        <v>155930.974669913</v>
      </c>
      <c r="P13" s="30" t="n">
        <f aca="false">IS!P42</f>
        <v>155930.974669913</v>
      </c>
      <c r="Q13" s="30" t="n">
        <f aca="false">IS!Q42</f>
        <v>155930.974669913</v>
      </c>
    </row>
    <row r="14" customFormat="false" ht="15" hidden="false" customHeight="true" outlineLevel="0" collapsed="false">
      <c r="A14" s="8" t="s">
        <v>524</v>
      </c>
      <c r="C14" s="9" t="n">
        <f aca="false">C13/B13-1</f>
        <v>0.104697897036506</v>
      </c>
      <c r="D14" s="9" t="n">
        <f aca="false">D13/C13-1</f>
        <v>0.0403526516809831</v>
      </c>
      <c r="E14" s="9" t="n">
        <f aca="false">E13/D13-1</f>
        <v>0.0460501494616479</v>
      </c>
      <c r="F14" s="9" t="n">
        <f aca="false">F13/E13-1</f>
        <v>0.103624067972949</v>
      </c>
      <c r="G14" s="9" t="n">
        <f aca="false">G13/F13-1</f>
        <v>0.0790560286585174</v>
      </c>
      <c r="H14" s="9" t="n">
        <f aca="false">H13/G13-1</f>
        <v>0.0136696681305113</v>
      </c>
      <c r="I14" s="9" t="n">
        <f aca="false">I13/H13-1</f>
        <v>0.0044529737245822</v>
      </c>
      <c r="J14" s="9" t="n">
        <f aca="false">J13/I13-1</f>
        <v>-0.0268796906461651</v>
      </c>
      <c r="K14" s="9" t="n">
        <f aca="false">K13/J13-1</f>
        <v>-0.00562554006948157</v>
      </c>
      <c r="L14" s="9" t="n">
        <f aca="false">L13/K13-1</f>
        <v>-0.0545341688342398</v>
      </c>
      <c r="M14" s="9" t="n">
        <f aca="false">M13/L13-1</f>
        <v>-0.0195236356334996</v>
      </c>
      <c r="N14" s="9" t="n">
        <f aca="false">N13/M13-1</f>
        <v>-0.00562144431240852</v>
      </c>
      <c r="O14" s="9" t="n">
        <f aca="false">O13/N13-1</f>
        <v>0</v>
      </c>
      <c r="P14" s="9" t="n">
        <f aca="false">P13/O13-1</f>
        <v>0</v>
      </c>
      <c r="Q14" s="9" t="n">
        <f aca="false">Q13/P13-1</f>
        <v>0</v>
      </c>
    </row>
    <row r="15" customFormat="false" ht="15" hidden="false" customHeight="true" outlineLevel="0" collapsed="false">
      <c r="A15" s="8" t="s">
        <v>525</v>
      </c>
      <c r="B15" s="9" t="n">
        <f aca="false">B13/H13-1</f>
        <v>-0.31093248142679</v>
      </c>
      <c r="C15" s="9" t="n">
        <f aca="false">C13/H13-1</f>
        <v>-0.238788561316012</v>
      </c>
      <c r="D15" s="9" t="n">
        <f aca="false">D13/H13-1</f>
        <v>-0.208071661275217</v>
      </c>
      <c r="E15" s="9" t="n">
        <f aca="false">E13/H13-1</f>
        <v>-0.171603242914026</v>
      </c>
      <c r="F15" s="9" t="n">
        <f aca="false">F13/H13-1</f>
        <v>-0.0857614010491781</v>
      </c>
      <c r="G15" s="9" t="n">
        <f aca="false">G13/H13-1</f>
        <v>-0.0134853281697991</v>
      </c>
      <c r="H15" s="9" t="n">
        <f aca="false">H13/H13-1</f>
        <v>0</v>
      </c>
      <c r="I15" s="9" t="n">
        <f aca="false">I13/H13-1</f>
        <v>0.0044529737245822</v>
      </c>
      <c r="J15" s="9" t="n">
        <f aca="false">J13/H13-1</f>
        <v>-0.0225464114777553</v>
      </c>
      <c r="K15" s="9" t="n">
        <f aca="false">K13/H13-1</f>
        <v>-0.0280451158060457</v>
      </c>
      <c r="L15" s="9" t="n">
        <f aca="false">L13/H13-1</f>
        <v>-0.0810498675599428</v>
      </c>
      <c r="M15" s="9" t="n">
        <f aca="false">M13/H13-1</f>
        <v>-0.0989911151110586</v>
      </c>
      <c r="N15" s="9" t="n">
        <f aca="false">N13/H13-1</f>
        <v>-0.104056086382447</v>
      </c>
      <c r="O15" s="9" t="n">
        <f aca="false">O13/H13-1</f>
        <v>-0.104056086382447</v>
      </c>
      <c r="P15" s="9" t="n">
        <f aca="false">P13/H13-1</f>
        <v>-0.104056086382447</v>
      </c>
      <c r="Q15" s="9" t="n">
        <f aca="false">Q13/H13-1</f>
        <v>-0.104056086382447</v>
      </c>
    </row>
    <row r="16" customFormat="false" ht="15" hidden="false" customHeight="true" outlineLevel="0" collapsed="false">
      <c r="A16" s="8" t="s">
        <v>526</v>
      </c>
      <c r="B16" s="35" t="n">
        <v>0</v>
      </c>
      <c r="C16" s="35" t="n">
        <v>51035</v>
      </c>
      <c r="D16" s="35" t="n">
        <v>0</v>
      </c>
      <c r="E16" s="35" t="n">
        <v>0</v>
      </c>
      <c r="F16" s="35" t="n">
        <v>0</v>
      </c>
      <c r="G16" s="35" t="n">
        <v>68108</v>
      </c>
      <c r="H16" s="35" t="n">
        <v>75739</v>
      </c>
      <c r="I16" s="35" t="n">
        <v>0</v>
      </c>
      <c r="J16" s="35" t="n">
        <v>0</v>
      </c>
      <c r="K16" s="35" t="n">
        <v>0</v>
      </c>
      <c r="L16" s="35" t="n">
        <v>0</v>
      </c>
      <c r="M16" s="35" t="n">
        <v>0</v>
      </c>
      <c r="N16" s="35" t="n">
        <v>0</v>
      </c>
      <c r="O16" s="35" t="n">
        <v>0</v>
      </c>
      <c r="P16" s="35" t="n">
        <v>0</v>
      </c>
      <c r="Q16" s="35" t="n">
        <v>0</v>
      </c>
    </row>
    <row r="17" customFormat="false" ht="15" hidden="false" customHeight="true" outlineLevel="0" collapsed="false">
      <c r="A17" s="8" t="s">
        <v>527</v>
      </c>
      <c r="B17" s="35" t="n">
        <v>401154</v>
      </c>
      <c r="C17" s="35" t="n">
        <v>161914</v>
      </c>
      <c r="D17" s="35" t="n">
        <v>150267</v>
      </c>
      <c r="E17" s="35" t="n">
        <v>85689</v>
      </c>
      <c r="F17" s="35" t="n">
        <v>1076107</v>
      </c>
      <c r="G17" s="35" t="n">
        <v>2476</v>
      </c>
      <c r="H17" s="35" t="n">
        <v>3138</v>
      </c>
      <c r="I17" s="35" t="n">
        <v>3804</v>
      </c>
      <c r="J17" s="35" t="n">
        <v>2744</v>
      </c>
      <c r="K17" s="35" t="n">
        <v>2904</v>
      </c>
      <c r="L17" s="35" t="n">
        <v>1684</v>
      </c>
      <c r="M17" s="35" t="n">
        <v>0</v>
      </c>
      <c r="N17" s="35" t="n">
        <v>0</v>
      </c>
      <c r="O17" s="35" t="n">
        <v>0</v>
      </c>
      <c r="P17" s="35" t="n">
        <v>0</v>
      </c>
      <c r="Q17" s="35" t="n">
        <v>0</v>
      </c>
    </row>
    <row r="18" customFormat="false" ht="15" hidden="false" customHeight="true" outlineLevel="0" collapsed="false">
      <c r="A18" s="8" t="s">
        <v>528</v>
      </c>
      <c r="B18" s="35" t="n">
        <v>0</v>
      </c>
      <c r="C18" s="35" t="n">
        <v>0</v>
      </c>
      <c r="D18" s="35" t="n">
        <v>0</v>
      </c>
      <c r="E18" s="35" t="n">
        <v>0</v>
      </c>
      <c r="F18" s="35" t="n">
        <v>0</v>
      </c>
      <c r="G18" s="35" t="n">
        <v>0</v>
      </c>
      <c r="H18" s="35" t="n">
        <v>0</v>
      </c>
      <c r="I18" s="35" t="n">
        <v>0</v>
      </c>
      <c r="J18" s="35" t="n">
        <v>100907</v>
      </c>
      <c r="K18" s="35" t="n">
        <v>327149</v>
      </c>
      <c r="L18" s="35" t="n">
        <v>300646</v>
      </c>
      <c r="M18" s="27" t="n">
        <f aca="false">Assumptions!B98</f>
        <v>84625.2158442</v>
      </c>
      <c r="N18" s="27" t="n">
        <f aca="false">Assumptions!C98</f>
        <v>0</v>
      </c>
      <c r="O18" s="27" t="n">
        <f aca="false">Assumptions!D98</f>
        <v>0</v>
      </c>
      <c r="P18" s="27" t="n">
        <f aca="false">Assumptions!E98</f>
        <v>0</v>
      </c>
      <c r="Q18" s="27" t="n">
        <f aca="false">Assumptions!F98</f>
        <v>0</v>
      </c>
    </row>
    <row r="20" customFormat="false" ht="15" hidden="false" customHeight="true" outlineLevel="0" collapsed="false">
      <c r="A20" s="6" t="s">
        <v>529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customFormat="false" ht="15" hidden="false" customHeight="true" outlineLevel="0" collapsed="false">
      <c r="A21" s="8" t="s">
        <v>398</v>
      </c>
      <c r="B21" s="27" t="n">
        <f aca="false">'CFS-FCF'!B14</f>
        <v>18330</v>
      </c>
      <c r="C21" s="27" t="n">
        <f aca="false">'CFS-FCF'!C14</f>
        <v>54768</v>
      </c>
      <c r="D21" s="27" t="n">
        <f aca="false">'CFS-FCF'!D14</f>
        <v>84075</v>
      </c>
      <c r="E21" s="27" t="n">
        <f aca="false">'CFS-FCF'!E14</f>
        <v>113122</v>
      </c>
      <c r="F21" s="27" t="n">
        <f aca="false">'CFS-FCF'!F14</f>
        <v>92663</v>
      </c>
      <c r="G21" s="27" t="n">
        <f aca="false">'CFS-FCF'!G14</f>
        <v>106101</v>
      </c>
      <c r="H21" s="27" t="n">
        <f aca="false">'CFS-FCF'!H14</f>
        <v>118349</v>
      </c>
      <c r="I21" s="27" t="n">
        <f aca="false">'CFS-FCF'!I14</f>
        <v>105294</v>
      </c>
      <c r="J21" s="27" t="n">
        <f aca="false">'CFS-FCF'!J14</f>
        <v>123502</v>
      </c>
      <c r="K21" s="27" t="n">
        <f aca="false">'CFS-FCF'!K14</f>
        <v>201264</v>
      </c>
      <c r="L21" s="27" t="n">
        <f aca="false">'CFS-FCF'!L14</f>
        <v>155406</v>
      </c>
      <c r="M21" s="27" t="n">
        <f aca="false">'CFS-FCF'!M14</f>
        <v>186560.8316884</v>
      </c>
      <c r="N21" s="27" t="n">
        <f aca="false">'CFS-FCF'!N14</f>
        <v>187089.40466408</v>
      </c>
      <c r="O21" s="27" t="n">
        <f aca="false">'CFS-FCF'!O14</f>
        <v>192838.565839531</v>
      </c>
      <c r="P21" s="27" t="n">
        <f aca="false">'CFS-FCF'!P14</f>
        <v>198246.633256431</v>
      </c>
      <c r="Q21" s="27" t="n">
        <f aca="false">'CFS-FCF'!Q14</f>
        <v>205734.899598338</v>
      </c>
    </row>
    <row r="22" customFormat="false" ht="15" hidden="false" customHeight="true" outlineLevel="0" collapsed="false">
      <c r="A22" s="8" t="s">
        <v>530</v>
      </c>
      <c r="B22" s="35" t="n">
        <v>146198</v>
      </c>
      <c r="C22" s="35" t="n">
        <v>164413</v>
      </c>
      <c r="D22" s="35" t="n">
        <v>175561</v>
      </c>
      <c r="E22" s="35" t="n">
        <v>189386</v>
      </c>
      <c r="F22" s="35" t="n">
        <v>219206</v>
      </c>
      <c r="G22" s="35" t="n">
        <v>237103</v>
      </c>
      <c r="H22" s="35" t="n">
        <v>245479</v>
      </c>
      <c r="I22" s="35" t="n">
        <v>253414</v>
      </c>
      <c r="J22" s="35" t="n">
        <v>246534</v>
      </c>
      <c r="K22" s="35" t="n">
        <v>248146</v>
      </c>
      <c r="L22" s="35" t="n">
        <v>247191</v>
      </c>
      <c r="M22" s="27" t="n">
        <f aca="false">Assumptions!B73*Assumptions!B74</f>
        <v>252310.4</v>
      </c>
      <c r="N22" s="27" t="n">
        <f aca="false">Assumptions!C73*Assumptions!C74</f>
        <v>249489.55947186</v>
      </c>
      <c r="O22" s="27" t="n">
        <f aca="false">Assumptions!D73*Assumptions!D74</f>
        <v>249489.55947186</v>
      </c>
      <c r="P22" s="27" t="n">
        <f aca="false">Assumptions!E73*Assumptions!E74</f>
        <v>249489.55947186</v>
      </c>
      <c r="Q22" s="27" t="n">
        <f aca="false">Assumptions!F73*Assumptions!F74</f>
        <v>249489.55947186</v>
      </c>
    </row>
    <row r="23" customFormat="false" ht="15" hidden="false" customHeight="true" outlineLevel="0" collapsed="false">
      <c r="A23" s="8" t="s">
        <v>531</v>
      </c>
      <c r="B23" s="32" t="n">
        <f aca="false">B21-B22</f>
        <v>-127868</v>
      </c>
      <c r="C23" s="32" t="n">
        <f aca="false">C21-C22</f>
        <v>-109645</v>
      </c>
      <c r="D23" s="32" t="n">
        <f aca="false">D21-D22</f>
        <v>-91486</v>
      </c>
      <c r="E23" s="32" t="n">
        <f aca="false">E21-E22</f>
        <v>-76264</v>
      </c>
      <c r="F23" s="32" t="n">
        <f aca="false">F21-F22</f>
        <v>-126543</v>
      </c>
      <c r="G23" s="32" t="n">
        <f aca="false">G21-G22</f>
        <v>-131002</v>
      </c>
      <c r="H23" s="32" t="n">
        <f aca="false">H21-H22</f>
        <v>-127130</v>
      </c>
      <c r="I23" s="32" t="n">
        <f aca="false">I21-I22</f>
        <v>-148120</v>
      </c>
      <c r="J23" s="32" t="n">
        <f aca="false">J21-J22</f>
        <v>-123032</v>
      </c>
      <c r="K23" s="32" t="n">
        <f aca="false">K21-K22</f>
        <v>-46882</v>
      </c>
      <c r="L23" s="32" t="n">
        <f aca="false">L21-L22</f>
        <v>-91785</v>
      </c>
      <c r="M23" s="32" t="n">
        <f aca="false">M21-M22</f>
        <v>-65749.5683116</v>
      </c>
      <c r="N23" s="32" t="n">
        <f aca="false">N21-N22</f>
        <v>-62400.1548077798</v>
      </c>
      <c r="O23" s="32" t="n">
        <f aca="false">O21-O22</f>
        <v>-56650.9936323294</v>
      </c>
      <c r="P23" s="32" t="n">
        <f aca="false">P21-P22</f>
        <v>-51242.9262154292</v>
      </c>
      <c r="Q23" s="32" t="n">
        <f aca="false">Q21-Q22</f>
        <v>-43754.6598735221</v>
      </c>
    </row>
    <row r="25" customFormat="false" ht="15" hidden="false" customHeight="true" outlineLevel="0" collapsed="false">
      <c r="A25" s="6" t="s">
        <v>532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customFormat="false" ht="15" hidden="false" customHeight="true" outlineLevel="0" collapsed="false">
      <c r="A26" s="8" t="s">
        <v>533</v>
      </c>
      <c r="M26" s="9" t="n">
        <f aca="false">(IS!L11/IS!H11)^(1/4)-1</f>
        <v>0.0174550587139437</v>
      </c>
    </row>
    <row r="27" customFormat="false" ht="15" hidden="false" customHeight="true" outlineLevel="0" collapsed="false">
      <c r="A27" s="8" t="s">
        <v>534</v>
      </c>
      <c r="M27" s="9" t="n">
        <f aca="false">('CFS-FCF'!L29/'CFS-FCF'!H29)^(1/4)-1</f>
        <v>0.0337943556431479</v>
      </c>
    </row>
    <row r="28" customFormat="false" ht="15" hidden="false" customHeight="true" outlineLevel="0" collapsed="false">
      <c r="A28" s="8" t="s">
        <v>535</v>
      </c>
      <c r="M28" s="31" t="n">
        <f aca="false">(M26-M27)*10000</f>
        <v>-163.392969292042</v>
      </c>
    </row>
    <row r="30" customFormat="false" ht="15" hidden="false" customHeight="true" outlineLevel="0" collapsed="false">
      <c r="A30" s="8" t="s">
        <v>536</v>
      </c>
      <c r="M30" s="32" t="n">
        <f aca="false">IS!L11-IS!H11</f>
        <v>43718</v>
      </c>
    </row>
    <row r="31" customFormat="false" ht="15" hidden="false" customHeight="true" outlineLevel="0" collapsed="false">
      <c r="A31" s="8" t="s">
        <v>537</v>
      </c>
      <c r="M31" s="32" t="n">
        <f aca="false">L8-H8</f>
        <v>38166</v>
      </c>
    </row>
    <row r="32" customFormat="false" ht="15" hidden="false" customHeight="true" outlineLevel="0" collapsed="false">
      <c r="A32" s="8" t="s">
        <v>538</v>
      </c>
      <c r="M32" s="9" t="n">
        <f aca="false">M31/M30</f>
        <v>0.873004254540464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0"/>
    <col collapsed="false" customWidth="true" hidden="false" outlineLevel="0" max="13" min="2" style="1" width="14"/>
  </cols>
  <sheetData>
    <row r="1" customFormat="false" ht="1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539</v>
      </c>
    </row>
    <row r="3" customFormat="false" ht="15" hidden="false" customHeight="true" outlineLevel="0" collapsed="false">
      <c r="A3" s="4" t="s">
        <v>540</v>
      </c>
    </row>
    <row r="5" customFormat="false" ht="15" hidden="false" customHeight="true" outlineLevel="0" collapsed="false">
      <c r="A5" s="6" t="s">
        <v>541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customFormat="false" ht="15" hidden="false" customHeight="true" outlineLevel="0" collapsed="false">
      <c r="A6" s="8" t="s">
        <v>542</v>
      </c>
      <c r="H6" s="16" t="n">
        <v>100000</v>
      </c>
      <c r="M6" s="4" t="s">
        <v>543</v>
      </c>
    </row>
    <row r="7" customFormat="false" ht="15" hidden="false" customHeight="true" outlineLevel="0" collapsed="false">
      <c r="A7" s="8" t="s">
        <v>544</v>
      </c>
      <c r="H7" s="10" t="n">
        <v>0.0425</v>
      </c>
      <c r="M7" s="4" t="s">
        <v>545</v>
      </c>
    </row>
    <row r="8" customFormat="false" ht="15" hidden="false" customHeight="true" outlineLevel="0" collapsed="false">
      <c r="A8" s="8" t="s">
        <v>546</v>
      </c>
      <c r="H8" s="10" t="n">
        <v>0.035</v>
      </c>
      <c r="M8" s="4" t="s">
        <v>547</v>
      </c>
    </row>
    <row r="9" customFormat="false" ht="15" hidden="false" customHeight="true" outlineLevel="0" collapsed="false">
      <c r="A9" s="8" t="s">
        <v>548</v>
      </c>
      <c r="H9" s="10" t="n">
        <v>0.085</v>
      </c>
      <c r="M9" s="4" t="s">
        <v>549</v>
      </c>
    </row>
    <row r="10" customFormat="false" ht="15" hidden="false" customHeight="true" outlineLevel="0" collapsed="false">
      <c r="A10" s="8" t="s">
        <v>550</v>
      </c>
      <c r="H10" s="10" t="n">
        <v>0.035</v>
      </c>
      <c r="M10" s="4" t="s">
        <v>551</v>
      </c>
    </row>
    <row r="11" customFormat="false" ht="15" hidden="false" customHeight="true" outlineLevel="0" collapsed="false">
      <c r="A11" s="8" t="s">
        <v>552</v>
      </c>
      <c r="H11" s="10" t="n">
        <v>0.032</v>
      </c>
      <c r="M11" s="4" t="s">
        <v>553</v>
      </c>
    </row>
    <row r="12" customFormat="false" ht="15" hidden="false" customHeight="true" outlineLevel="0" collapsed="false">
      <c r="A12" s="8" t="s">
        <v>554</v>
      </c>
      <c r="H12" s="10" t="n">
        <v>0.1</v>
      </c>
      <c r="M12" s="4" t="s">
        <v>555</v>
      </c>
    </row>
    <row r="13" customFormat="false" ht="15" hidden="false" customHeight="true" outlineLevel="0" collapsed="false">
      <c r="A13" s="8" t="s">
        <v>556</v>
      </c>
      <c r="H13" s="10" t="n">
        <v>0.35</v>
      </c>
      <c r="M13" s="4" t="s">
        <v>557</v>
      </c>
    </row>
    <row r="14" customFormat="false" ht="15" hidden="false" customHeight="true" outlineLevel="0" collapsed="false">
      <c r="A14" s="8" t="s">
        <v>558</v>
      </c>
      <c r="H14" s="10" t="n">
        <v>-0.01</v>
      </c>
      <c r="M14" s="4" t="s">
        <v>559</v>
      </c>
    </row>
    <row r="16" customFormat="false" ht="15" hidden="false" customHeight="true" outlineLevel="0" collapsed="false">
      <c r="A16" s="6" t="s">
        <v>560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customFormat="false" ht="15" hidden="false" customHeight="true" outlineLevel="0" collapsed="false">
      <c r="A17" s="8" t="s">
        <v>561</v>
      </c>
      <c r="H17" s="32" t="n">
        <f aca="false">H6/H7</f>
        <v>2352941.17647059</v>
      </c>
    </row>
    <row r="18" customFormat="false" ht="15" hidden="false" customHeight="true" outlineLevel="0" collapsed="false">
      <c r="A18" s="8" t="s">
        <v>562</v>
      </c>
      <c r="H18" s="32" t="n">
        <f aca="false">H6*(1-H9)</f>
        <v>91500</v>
      </c>
    </row>
    <row r="20" customFormat="false" ht="15" hidden="false" customHeight="true" outlineLevel="0" collapsed="false">
      <c r="A20" s="6" t="s">
        <v>563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2" customFormat="false" ht="15" hidden="false" customHeight="true" outlineLevel="0" collapsed="false">
      <c r="I22" s="3" t="s">
        <v>564</v>
      </c>
      <c r="J22" s="3" t="s">
        <v>565</v>
      </c>
      <c r="K22" s="3" t="s">
        <v>566</v>
      </c>
      <c r="L22" s="3" t="s">
        <v>567</v>
      </c>
      <c r="M22" s="3" t="s">
        <v>568</v>
      </c>
    </row>
    <row r="23" customFormat="false" ht="15" hidden="false" customHeight="true" outlineLevel="0" collapsed="false">
      <c r="A23" s="8" t="s">
        <v>569</v>
      </c>
      <c r="I23" s="32" t="n">
        <f aca="false">4*H18</f>
        <v>366000</v>
      </c>
      <c r="J23" s="32" t="n">
        <f aca="false">6*H18</f>
        <v>549000</v>
      </c>
      <c r="K23" s="32" t="n">
        <f aca="false">8*H18</f>
        <v>732000</v>
      </c>
      <c r="L23" s="32" t="n">
        <f aca="false">10*H18</f>
        <v>915000</v>
      </c>
      <c r="M23" s="32" t="n">
        <f aca="false">12*H18</f>
        <v>1098000</v>
      </c>
    </row>
    <row r="24" customFormat="false" ht="15" hidden="false" customHeight="true" outlineLevel="0" collapsed="false">
      <c r="A24" s="8" t="s">
        <v>570</v>
      </c>
      <c r="I24" s="32" t="n">
        <f aca="false">H17-I23</f>
        <v>1986941.17647059</v>
      </c>
      <c r="J24" s="32" t="n">
        <f aca="false">H17-J23</f>
        <v>1803941.17647059</v>
      </c>
      <c r="K24" s="32" t="n">
        <f aca="false">H17-K23</f>
        <v>1620941.17647059</v>
      </c>
      <c r="L24" s="32" t="n">
        <f aca="false">H17-L23</f>
        <v>1437941.17647059</v>
      </c>
      <c r="M24" s="32" t="n">
        <f aca="false">H17-M23</f>
        <v>1254941.17647059</v>
      </c>
    </row>
    <row r="26" customFormat="false" ht="15" hidden="false" customHeight="true" outlineLevel="0" collapsed="false">
      <c r="A26" s="6" t="s">
        <v>571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8" customFormat="false" ht="15" hidden="false" customHeight="true" outlineLevel="0" collapsed="false">
      <c r="A28" s="8" t="s">
        <v>572</v>
      </c>
      <c r="I28" s="32" t="n">
        <f aca="false">H6</f>
        <v>100000</v>
      </c>
      <c r="J28" s="32" t="n">
        <f aca="false">H6</f>
        <v>100000</v>
      </c>
      <c r="K28" s="32" t="n">
        <f aca="false">H6</f>
        <v>100000</v>
      </c>
      <c r="L28" s="32" t="n">
        <f aca="false">H6</f>
        <v>100000</v>
      </c>
      <c r="M28" s="32" t="n">
        <f aca="false">H6</f>
        <v>100000</v>
      </c>
    </row>
    <row r="29" customFormat="false" ht="15" hidden="false" customHeight="true" outlineLevel="0" collapsed="false">
      <c r="A29" s="8" t="s">
        <v>405</v>
      </c>
      <c r="I29" s="32" t="n">
        <f aca="false">-H6*H9</f>
        <v>-8500</v>
      </c>
      <c r="J29" s="32" t="n">
        <f aca="false">-H6*H9</f>
        <v>-8500</v>
      </c>
      <c r="K29" s="32" t="n">
        <f aca="false">-H6*H9</f>
        <v>-8500</v>
      </c>
      <c r="L29" s="32" t="n">
        <f aca="false">-H6*H9</f>
        <v>-8500</v>
      </c>
      <c r="M29" s="32" t="n">
        <f aca="false">-H6*H9</f>
        <v>-8500</v>
      </c>
    </row>
    <row r="30" customFormat="false" ht="15" hidden="false" customHeight="true" outlineLevel="0" collapsed="false">
      <c r="A30" s="8" t="s">
        <v>573</v>
      </c>
      <c r="I30" s="32" t="n">
        <f aca="false">-I23*H11</f>
        <v>-11712</v>
      </c>
      <c r="J30" s="32" t="n">
        <f aca="false">-J23*H11</f>
        <v>-17568</v>
      </c>
      <c r="K30" s="32" t="n">
        <f aca="false">-K23*H11</f>
        <v>-23424</v>
      </c>
      <c r="L30" s="32" t="n">
        <f aca="false">-L23*H11</f>
        <v>-29280</v>
      </c>
      <c r="M30" s="32" t="n">
        <f aca="false">-M23*H11</f>
        <v>-35136</v>
      </c>
    </row>
    <row r="31" customFormat="false" ht="15" hidden="false" customHeight="true" outlineLevel="0" collapsed="false">
      <c r="A31" s="8" t="s">
        <v>574</v>
      </c>
      <c r="I31" s="32" t="n">
        <f aca="false">-H6*H12</f>
        <v>-10000</v>
      </c>
      <c r="J31" s="32" t="n">
        <f aca="false">-H6*H12</f>
        <v>-10000</v>
      </c>
      <c r="K31" s="32" t="n">
        <f aca="false">-H6*H12</f>
        <v>-10000</v>
      </c>
      <c r="L31" s="32" t="n">
        <f aca="false">-H6*H12</f>
        <v>-10000</v>
      </c>
      <c r="M31" s="32" t="n">
        <f aca="false">-H6*H12</f>
        <v>-10000</v>
      </c>
    </row>
    <row r="32" customFormat="false" ht="15" hidden="false" customHeight="true" outlineLevel="0" collapsed="false">
      <c r="A32" s="8" t="s">
        <v>575</v>
      </c>
      <c r="I32" s="36" t="n">
        <f aca="false">I28+I29+I30+I31</f>
        <v>69788</v>
      </c>
      <c r="J32" s="36" t="n">
        <f aca="false">J28+J29+J30+J31</f>
        <v>63932</v>
      </c>
      <c r="K32" s="36" t="n">
        <f aca="false">K28+K29+K30+K31</f>
        <v>58076</v>
      </c>
      <c r="L32" s="36" t="n">
        <f aca="false">L28+L29+L30+L31</f>
        <v>52220</v>
      </c>
      <c r="M32" s="36" t="n">
        <f aca="false">M28+M29+M30+M31</f>
        <v>46364</v>
      </c>
    </row>
    <row r="33" customFormat="false" ht="15" hidden="false" customHeight="true" outlineLevel="0" collapsed="false">
      <c r="A33" s="8" t="s">
        <v>576</v>
      </c>
      <c r="I33" s="32" t="n">
        <f aca="false">-H6*(H13-H12)</f>
        <v>-25000</v>
      </c>
      <c r="J33" s="32" t="n">
        <f aca="false">-H6*(H13-H12)</f>
        <v>-25000</v>
      </c>
      <c r="K33" s="32" t="n">
        <f aca="false">-H6*(H13-H12)</f>
        <v>-25000</v>
      </c>
      <c r="L33" s="32" t="n">
        <f aca="false">-H6*(H13-H12)</f>
        <v>-25000</v>
      </c>
      <c r="M33" s="32" t="n">
        <f aca="false">-H6*(H13-H12)</f>
        <v>-25000</v>
      </c>
    </row>
    <row r="34" customFormat="false" ht="15" hidden="false" customHeight="true" outlineLevel="0" collapsed="false">
      <c r="A34" s="8" t="s">
        <v>577</v>
      </c>
      <c r="I34" s="36" t="n">
        <f aca="false">I32+I33</f>
        <v>44788</v>
      </c>
      <c r="J34" s="36" t="n">
        <f aca="false">J32+J33</f>
        <v>38932</v>
      </c>
      <c r="K34" s="36" t="n">
        <f aca="false">K32+K33</f>
        <v>33076</v>
      </c>
      <c r="L34" s="36" t="n">
        <f aca="false">L32+L33</f>
        <v>27220</v>
      </c>
      <c r="M34" s="36" t="n">
        <f aca="false">M32+M33</f>
        <v>21364</v>
      </c>
    </row>
    <row r="35" customFormat="false" ht="15" hidden="false" customHeight="true" outlineLevel="0" collapsed="false">
      <c r="A35" s="8" t="s">
        <v>578</v>
      </c>
      <c r="I35" s="31" t="n">
        <f aca="false">I24</f>
        <v>1986941.17647059</v>
      </c>
      <c r="J35" s="31" t="n">
        <f aca="false">J24</f>
        <v>1803941.17647059</v>
      </c>
      <c r="K35" s="31" t="n">
        <f aca="false">K24</f>
        <v>1620941.17647059</v>
      </c>
      <c r="L35" s="31" t="n">
        <f aca="false">L24</f>
        <v>1437941.17647059</v>
      </c>
      <c r="M35" s="31" t="n">
        <f aca="false">M24</f>
        <v>1254941.17647059</v>
      </c>
    </row>
    <row r="36" customFormat="false" ht="15" hidden="false" customHeight="true" outlineLevel="0" collapsed="false">
      <c r="A36" s="8" t="s">
        <v>187</v>
      </c>
      <c r="I36" s="67" t="n">
        <f aca="false">I32/I35</f>
        <v>0.0351233347149032</v>
      </c>
      <c r="J36" s="67" t="n">
        <f aca="false">J32/J35</f>
        <v>0.0354401799980435</v>
      </c>
      <c r="K36" s="67" t="n">
        <f aca="false">K32/K35</f>
        <v>0.0358285672811729</v>
      </c>
      <c r="L36" s="67" t="n">
        <f aca="false">L32/L35</f>
        <v>0.0363158110042954</v>
      </c>
      <c r="M36" s="67" t="n">
        <f aca="false">M32/M35</f>
        <v>0.0369451579638136</v>
      </c>
    </row>
    <row r="38" customFormat="false" ht="15" hidden="false" customHeight="true" outlineLevel="0" collapsed="false">
      <c r="A38" s="6" t="s">
        <v>579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40" customFormat="false" ht="15" hidden="false" customHeight="true" outlineLevel="0" collapsed="false">
      <c r="A40" s="8" t="s">
        <v>572</v>
      </c>
      <c r="I40" s="32" t="n">
        <f aca="false">H6*(1+H8)</f>
        <v>103500</v>
      </c>
      <c r="J40" s="32" t="n">
        <f aca="false">H6*(1+H8)</f>
        <v>103500</v>
      </c>
      <c r="K40" s="32" t="n">
        <f aca="false">H6*(1+H8)</f>
        <v>103500</v>
      </c>
      <c r="L40" s="32" t="n">
        <f aca="false">H6*(1+H8)</f>
        <v>103500</v>
      </c>
      <c r="M40" s="32" t="n">
        <f aca="false">H6*(1+H8)</f>
        <v>103500</v>
      </c>
    </row>
    <row r="41" customFormat="false" ht="15" hidden="false" customHeight="true" outlineLevel="0" collapsed="false">
      <c r="A41" s="8" t="s">
        <v>405</v>
      </c>
      <c r="I41" s="32" t="n">
        <f aca="false">-H6*(1+H10)*H9</f>
        <v>-8797.5</v>
      </c>
      <c r="J41" s="32" t="n">
        <f aca="false">-H6*(1+H10)*H9</f>
        <v>-8797.5</v>
      </c>
      <c r="K41" s="32" t="n">
        <f aca="false">-H6*(1+H10)*H9</f>
        <v>-8797.5</v>
      </c>
      <c r="L41" s="32" t="n">
        <f aca="false">-H6*(1+H10)*H9</f>
        <v>-8797.5</v>
      </c>
      <c r="M41" s="32" t="n">
        <f aca="false">-H6*(1+H10)*H9</f>
        <v>-8797.5</v>
      </c>
    </row>
    <row r="42" customFormat="false" ht="15" hidden="false" customHeight="true" outlineLevel="0" collapsed="false">
      <c r="A42" s="8" t="s">
        <v>580</v>
      </c>
      <c r="I42" s="32" t="n">
        <f aca="false">I30</f>
        <v>-11712</v>
      </c>
      <c r="J42" s="32" t="n">
        <f aca="false">J30</f>
        <v>-17568</v>
      </c>
      <c r="K42" s="32" t="n">
        <f aca="false">K30</f>
        <v>-23424</v>
      </c>
      <c r="L42" s="32" t="n">
        <f aca="false">L30</f>
        <v>-29280</v>
      </c>
      <c r="M42" s="32" t="n">
        <f aca="false">M30</f>
        <v>-35136</v>
      </c>
    </row>
    <row r="43" customFormat="false" ht="15" hidden="false" customHeight="true" outlineLevel="0" collapsed="false">
      <c r="A43" s="8" t="s">
        <v>574</v>
      </c>
      <c r="I43" s="32" t="n">
        <f aca="false">-I40*H12</f>
        <v>-10350</v>
      </c>
      <c r="J43" s="32" t="n">
        <f aca="false">-J40*H12</f>
        <v>-10350</v>
      </c>
      <c r="K43" s="32" t="n">
        <f aca="false">-K40*H12</f>
        <v>-10350</v>
      </c>
      <c r="L43" s="32" t="n">
        <f aca="false">-L40*H12</f>
        <v>-10350</v>
      </c>
      <c r="M43" s="32" t="n">
        <f aca="false">-M40*H12</f>
        <v>-10350</v>
      </c>
    </row>
    <row r="44" customFormat="false" ht="15" hidden="false" customHeight="true" outlineLevel="0" collapsed="false">
      <c r="A44" s="8" t="s">
        <v>575</v>
      </c>
      <c r="I44" s="36" t="n">
        <f aca="false">I40+I41+I42+I43</f>
        <v>72640.5</v>
      </c>
      <c r="J44" s="36" t="n">
        <f aca="false">J40+J41+J42+J43</f>
        <v>66784.5</v>
      </c>
      <c r="K44" s="36" t="n">
        <f aca="false">K40+K41+K42+K43</f>
        <v>60928.5</v>
      </c>
      <c r="L44" s="36" t="n">
        <f aca="false">L40+L41+L42+L43</f>
        <v>55072.5</v>
      </c>
      <c r="M44" s="36" t="n">
        <f aca="false">M40+M41+M42+M43</f>
        <v>49216.5</v>
      </c>
    </row>
    <row r="45" customFormat="false" ht="15" hidden="false" customHeight="true" outlineLevel="0" collapsed="false">
      <c r="A45" s="8" t="s">
        <v>581</v>
      </c>
      <c r="I45" s="31" t="n">
        <f aca="false">I35*(1+H14)</f>
        <v>1967071.76470588</v>
      </c>
      <c r="J45" s="31" t="n">
        <f aca="false">J35*(1+H14)</f>
        <v>1785901.76470588</v>
      </c>
      <c r="K45" s="31" t="n">
        <f aca="false">K35*(1+H14)</f>
        <v>1604731.76470588</v>
      </c>
      <c r="L45" s="31" t="n">
        <f aca="false">L35*(1+H14)</f>
        <v>1423561.76470588</v>
      </c>
      <c r="M45" s="31" t="n">
        <f aca="false">M35*(1+H14)</f>
        <v>1242391.76470588</v>
      </c>
    </row>
    <row r="46" customFormat="false" ht="15" hidden="false" customHeight="true" outlineLevel="0" collapsed="false">
      <c r="A46" s="8" t="s">
        <v>187</v>
      </c>
      <c r="I46" s="67" t="n">
        <f aca="false">I44/I45</f>
        <v>0.0369282409027213</v>
      </c>
      <c r="J46" s="67" t="n">
        <f aca="false">J44/J45</f>
        <v>0.0373953939235838</v>
      </c>
      <c r="K46" s="67" t="n">
        <f aca="false">K44/K45</f>
        <v>0.0379680276417829</v>
      </c>
      <c r="L46" s="67" t="n">
        <f aca="false">L44/L45</f>
        <v>0.0386864141517445</v>
      </c>
      <c r="M46" s="67" t="n">
        <f aca="false">M44/M45</f>
        <v>0.0396143160298968</v>
      </c>
    </row>
    <row r="48" customFormat="false" ht="15" hidden="false" customHeight="true" outlineLevel="0" collapsed="false">
      <c r="A48" s="6" t="s">
        <v>582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</row>
    <row r="50" customFormat="false" ht="15" hidden="false" customHeight="true" outlineLevel="0" collapsed="false">
      <c r="A50" s="8" t="s">
        <v>583</v>
      </c>
      <c r="I50" s="9" t="n">
        <f aca="false">H8</f>
        <v>0.035</v>
      </c>
      <c r="J50" s="9" t="n">
        <f aca="false">H8</f>
        <v>0.035</v>
      </c>
      <c r="K50" s="9" t="n">
        <f aca="false">H8</f>
        <v>0.035</v>
      </c>
      <c r="L50" s="9" t="n">
        <f aca="false">H8</f>
        <v>0.035</v>
      </c>
      <c r="M50" s="9" t="n">
        <f aca="false">H8</f>
        <v>0.035</v>
      </c>
    </row>
    <row r="51" customFormat="false" ht="15" hidden="false" customHeight="true" outlineLevel="0" collapsed="false">
      <c r="A51" s="8" t="s">
        <v>584</v>
      </c>
      <c r="I51" s="9" t="n">
        <f aca="false">I46/I36-1</f>
        <v>0.0513876658486043</v>
      </c>
      <c r="J51" s="9" t="n">
        <f aca="false">J46/J36-1</f>
        <v>0.0551694129558109</v>
      </c>
      <c r="K51" s="9" t="n">
        <f aca="false">K46/K36-1</f>
        <v>0.0597138128304184</v>
      </c>
      <c r="L51" s="9" t="n">
        <f aca="false">L46/L36-1</f>
        <v>0.065277439272077</v>
      </c>
      <c r="M51" s="9" t="n">
        <f aca="false">M46/M36-1</f>
        <v>0.0722464921843746</v>
      </c>
    </row>
    <row r="52" customFormat="false" ht="15" hidden="false" customHeight="true" outlineLevel="0" collapsed="false">
      <c r="A52" s="8" t="s">
        <v>585</v>
      </c>
      <c r="I52" s="66" t="n">
        <f aca="false">I51/H8</f>
        <v>1.46821902424584</v>
      </c>
      <c r="J52" s="66" t="n">
        <f aca="false">J51/H8</f>
        <v>1.5762689415946</v>
      </c>
      <c r="K52" s="66" t="n">
        <f aca="false">K51/H8</f>
        <v>1.70610893801196</v>
      </c>
      <c r="L52" s="66" t="n">
        <f aca="false">L51/H8</f>
        <v>1.86506969348791</v>
      </c>
      <c r="M52" s="66" t="n">
        <f aca="false">M51/H8</f>
        <v>2.06418549098213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2060"/>
    <pageSetUpPr fitToPage="false"/>
  </sheetPr>
  <dimension ref="A1:S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8" min="2" style="1" width="14"/>
  </cols>
  <sheetData>
    <row r="1" customFormat="false" ht="15" hidden="false" customHeight="true" outlineLevel="0" collapsed="false">
      <c r="A1" s="2" t="s">
        <v>586</v>
      </c>
    </row>
    <row r="2" customFormat="false" ht="15" hidden="false" customHeight="true" outlineLevel="0" collapsed="false">
      <c r="A2" s="4" t="s">
        <v>587</v>
      </c>
    </row>
    <row r="4" customFormat="false" ht="15" hidden="false" customHeight="true" outlineLevel="0" collapsed="false">
      <c r="A4" s="6" t="s">
        <v>588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customFormat="false" ht="15" hidden="false" customHeight="true" outlineLevel="0" collapsed="false">
      <c r="A5" s="8" t="s">
        <v>166</v>
      </c>
      <c r="B5" s="13" t="n">
        <v>55</v>
      </c>
      <c r="M5" s="4" t="s">
        <v>589</v>
      </c>
    </row>
    <row r="6" customFormat="false" ht="15" hidden="false" customHeight="true" outlineLevel="0" collapsed="false">
      <c r="A6" s="8" t="s">
        <v>590</v>
      </c>
      <c r="B6" s="10" t="n">
        <v>0.035</v>
      </c>
      <c r="M6" s="4" t="s">
        <v>591</v>
      </c>
    </row>
    <row r="7" customFormat="false" ht="15" hidden="false" customHeight="true" outlineLevel="0" collapsed="false">
      <c r="A7" s="8" t="s">
        <v>550</v>
      </c>
      <c r="B7" s="10" t="n">
        <v>0.035</v>
      </c>
      <c r="M7" s="4" t="s">
        <v>592</v>
      </c>
    </row>
    <row r="8" customFormat="false" ht="15" hidden="false" customHeight="true" outlineLevel="0" collapsed="false">
      <c r="A8" s="8" t="s">
        <v>593</v>
      </c>
      <c r="B8" s="10" t="n">
        <v>0.035</v>
      </c>
      <c r="M8" s="4" t="s">
        <v>592</v>
      </c>
    </row>
    <row r="9" customFormat="false" ht="15" hidden="false" customHeight="true" outlineLevel="0" collapsed="false">
      <c r="A9" s="8" t="s">
        <v>594</v>
      </c>
      <c r="B9" s="18" t="n">
        <v>0.032</v>
      </c>
      <c r="M9" s="4" t="s">
        <v>595</v>
      </c>
    </row>
    <row r="10" customFormat="false" ht="15" hidden="false" customHeight="true" outlineLevel="0" collapsed="false">
      <c r="A10" s="8" t="s">
        <v>596</v>
      </c>
      <c r="B10" s="18" t="n">
        <v>0.0425</v>
      </c>
      <c r="M10" s="4" t="s">
        <v>597</v>
      </c>
    </row>
    <row r="11" customFormat="false" ht="15" hidden="false" customHeight="true" outlineLevel="0" collapsed="false">
      <c r="A11" s="8" t="s">
        <v>598</v>
      </c>
      <c r="B11" s="68" t="n">
        <v>5</v>
      </c>
    </row>
    <row r="13" customFormat="false" ht="15" hidden="false" customHeight="true" outlineLevel="0" collapsed="false">
      <c r="A13" s="6" t="s">
        <v>599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customFormat="false" ht="15" hidden="false" customHeight="true" outlineLevel="0" collapsed="false">
      <c r="A14" s="8" t="s">
        <v>168</v>
      </c>
      <c r="B14" s="30" t="n">
        <f aca="false">BS!L44</f>
        <v>67523</v>
      </c>
    </row>
    <row r="15" customFormat="false" ht="15" hidden="false" customHeight="true" outlineLevel="0" collapsed="false">
      <c r="A15" s="8" t="s">
        <v>600</v>
      </c>
      <c r="B15" s="32" t="n">
        <f aca="false">B5*B14</f>
        <v>3713765</v>
      </c>
    </row>
    <row r="16" customFormat="false" ht="15" hidden="false" customHeight="true" outlineLevel="0" collapsed="false">
      <c r="A16" s="8" t="s">
        <v>601</v>
      </c>
      <c r="B16" s="27" t="n">
        <f aca="false">BS!L40</f>
        <v>4856580</v>
      </c>
    </row>
    <row r="17" customFormat="false" ht="15" hidden="false" customHeight="true" outlineLevel="0" collapsed="false">
      <c r="A17" s="8" t="s">
        <v>602</v>
      </c>
      <c r="B17" s="32" t="n">
        <f aca="false">B15+B16-250000</f>
        <v>8320345</v>
      </c>
    </row>
    <row r="18" customFormat="false" ht="15" hidden="false" customHeight="true" outlineLevel="0" collapsed="false">
      <c r="A18" s="8" t="s">
        <v>603</v>
      </c>
      <c r="B18" s="27" t="n">
        <f aca="false">IS!M11</f>
        <v>644384.48812</v>
      </c>
    </row>
    <row r="19" customFormat="false" ht="15" hidden="false" customHeight="true" outlineLevel="0" collapsed="false">
      <c r="A19" s="8" t="s">
        <v>604</v>
      </c>
      <c r="B19" s="34" t="n">
        <f aca="false">B18/B17</f>
        <v>0.0774468472304934</v>
      </c>
    </row>
    <row r="20" customFormat="false" ht="15" hidden="false" customHeight="true" outlineLevel="0" collapsed="false">
      <c r="A20" s="8" t="s">
        <v>605</v>
      </c>
      <c r="B20" s="57" t="n">
        <f aca="false">B16/(B18+IS!M15)</f>
        <v>8.24652700594946</v>
      </c>
    </row>
    <row r="22" customFormat="false" ht="15" hidden="false" customHeight="true" outlineLevel="0" collapsed="false">
      <c r="A22" s="6" t="s">
        <v>606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4" customFormat="false" ht="15" hidden="false" customHeight="true" outlineLevel="0" collapsed="false">
      <c r="B24" s="3" t="s">
        <v>607</v>
      </c>
      <c r="C24" s="3" t="s">
        <v>608</v>
      </c>
      <c r="D24" s="3" t="s">
        <v>609</v>
      </c>
      <c r="E24" s="3" t="s">
        <v>610</v>
      </c>
      <c r="F24" s="3" t="s">
        <v>611</v>
      </c>
      <c r="G24" s="3" t="s">
        <v>612</v>
      </c>
    </row>
    <row r="25" customFormat="false" ht="15" hidden="false" customHeight="true" outlineLevel="0" collapsed="false">
      <c r="A25" s="8" t="s">
        <v>480</v>
      </c>
      <c r="B25" s="35" t="n">
        <v>653711</v>
      </c>
      <c r="C25" s="32" t="n">
        <f aca="false">B25*(1+B6)</f>
        <v>676590.885</v>
      </c>
      <c r="D25" s="32" t="n">
        <f aca="false">C25*(1+B6)</f>
        <v>700271.565975</v>
      </c>
      <c r="E25" s="32" t="n">
        <f aca="false">D25*(1+B6)</f>
        <v>724781.070784125</v>
      </c>
      <c r="F25" s="32" t="n">
        <f aca="false">E25*(1+B6)</f>
        <v>750148.408261569</v>
      </c>
      <c r="G25" s="32" t="n">
        <f aca="false">F25*(1+B6)</f>
        <v>776403.602550724</v>
      </c>
    </row>
    <row r="26" customFormat="false" ht="15" hidden="false" customHeight="true" outlineLevel="0" collapsed="false">
      <c r="A26" s="8" t="s">
        <v>405</v>
      </c>
      <c r="B26" s="35" t="n">
        <v>-54989</v>
      </c>
      <c r="C26" s="32" t="n">
        <f aca="false">B26*(1+B7)</f>
        <v>-56913.615</v>
      </c>
      <c r="D26" s="32" t="n">
        <f aca="false">C26*(1+B7)</f>
        <v>-58905.591525</v>
      </c>
      <c r="E26" s="32" t="n">
        <f aca="false">D26*(1+B7)</f>
        <v>-60967.287228375</v>
      </c>
      <c r="F26" s="32" t="n">
        <f aca="false">E26*(1+B7)</f>
        <v>-63101.1422813681</v>
      </c>
      <c r="G26" s="32" t="n">
        <f aca="false">F26*(1+B7)</f>
        <v>-65309.682261216</v>
      </c>
    </row>
    <row r="27" customFormat="false" ht="15" hidden="false" customHeight="true" outlineLevel="0" collapsed="false">
      <c r="A27" s="8" t="s">
        <v>613</v>
      </c>
      <c r="B27" s="32" t="n">
        <f aca="false">B25+B26</f>
        <v>598722</v>
      </c>
      <c r="C27" s="32" t="n">
        <f aca="false">C25+C26</f>
        <v>619677.27</v>
      </c>
      <c r="D27" s="32" t="n">
        <f aca="false">D25+D26</f>
        <v>641365.97445</v>
      </c>
      <c r="E27" s="32" t="n">
        <f aca="false">E25+E26</f>
        <v>663813.78355575</v>
      </c>
      <c r="F27" s="32" t="n">
        <f aca="false">F25+F26</f>
        <v>687047.265980201</v>
      </c>
      <c r="G27" s="32" t="n">
        <f aca="false">G25+G26</f>
        <v>711093.920289508</v>
      </c>
    </row>
    <row r="28" customFormat="false" ht="15" hidden="false" customHeight="true" outlineLevel="0" collapsed="false">
      <c r="A28" s="8" t="s">
        <v>614</v>
      </c>
      <c r="B28" s="35" t="n">
        <v>-171831</v>
      </c>
      <c r="C28" s="32" t="n">
        <f aca="false">B28+150000*B9</f>
        <v>-167031</v>
      </c>
      <c r="D28" s="32" t="n">
        <f aca="false">C28+150000*B9</f>
        <v>-162231</v>
      </c>
      <c r="E28" s="32" t="n">
        <f aca="false">D28+150000*B9</f>
        <v>-157431</v>
      </c>
      <c r="F28" s="32" t="n">
        <f aca="false">E28+150000*B9</f>
        <v>-152631</v>
      </c>
      <c r="G28" s="32" t="n">
        <f aca="false">F28+150000*B9</f>
        <v>-147831</v>
      </c>
    </row>
    <row r="29" customFormat="false" ht="15" hidden="false" customHeight="true" outlineLevel="0" collapsed="false">
      <c r="A29" s="8" t="s">
        <v>147</v>
      </c>
      <c r="B29" s="35" t="n">
        <v>-226798</v>
      </c>
      <c r="C29" s="32" t="n">
        <f aca="false">B29*(1+B8)</f>
        <v>-234735.93</v>
      </c>
      <c r="D29" s="32" t="n">
        <f aca="false">C29*(1+B8)</f>
        <v>-242951.68755</v>
      </c>
      <c r="E29" s="32" t="n">
        <f aca="false">D29*(1+B8)</f>
        <v>-251454.99661425</v>
      </c>
      <c r="F29" s="32" t="n">
        <f aca="false">E29*(1+B8)</f>
        <v>-260255.921495749</v>
      </c>
      <c r="G29" s="32" t="n">
        <f aca="false">F29*(1+B8)</f>
        <v>-269364.8787481</v>
      </c>
    </row>
    <row r="31" customFormat="false" ht="15" hidden="false" customHeight="true" outlineLevel="0" collapsed="false">
      <c r="A31" s="8" t="s">
        <v>615</v>
      </c>
      <c r="B31" s="36" t="n">
        <f aca="false">B27+B28+B29</f>
        <v>200093</v>
      </c>
      <c r="C31" s="36" t="n">
        <f aca="false">C27+C28+C29</f>
        <v>217910.34</v>
      </c>
      <c r="D31" s="36" t="n">
        <f aca="false">D27+D28+D29</f>
        <v>236183.2869</v>
      </c>
      <c r="E31" s="36" t="n">
        <f aca="false">E27+E28+E29</f>
        <v>254927.7869415</v>
      </c>
      <c r="F31" s="36" t="n">
        <f aca="false">F27+F28+F29</f>
        <v>274160.344484452</v>
      </c>
      <c r="G31" s="36" t="n">
        <f aca="false">G27+G28+G29</f>
        <v>293898.041541408</v>
      </c>
    </row>
    <row r="32" customFormat="false" ht="15" hidden="false" customHeight="true" outlineLevel="0" collapsed="false">
      <c r="A32" s="8" t="s">
        <v>616</v>
      </c>
      <c r="G32" s="9" t="n">
        <f aca="false">(G31/B31)^(1/5)-1</f>
        <v>0.0799234189567781</v>
      </c>
    </row>
    <row r="34" customFormat="false" ht="15" hidden="false" customHeight="true" outlineLevel="0" collapsed="false">
      <c r="A34" s="8" t="s">
        <v>617</v>
      </c>
      <c r="B34" s="35" t="n">
        <v>5964851</v>
      </c>
      <c r="C34" s="32" t="n">
        <f aca="false">B34-150000</f>
        <v>5814851</v>
      </c>
      <c r="D34" s="32" t="n">
        <f aca="false">C34-150000</f>
        <v>5664851</v>
      </c>
      <c r="E34" s="32" t="n">
        <f aca="false">D34-150000</f>
        <v>5514851</v>
      </c>
      <c r="F34" s="32" t="n">
        <f aca="false">E34-150000</f>
        <v>5364851</v>
      </c>
      <c r="G34" s="32" t="n">
        <f aca="false">F34-150000</f>
        <v>5214851</v>
      </c>
    </row>
    <row r="35" customFormat="false" ht="15" hidden="false" customHeight="true" outlineLevel="0" collapsed="false">
      <c r="A35" s="8" t="s">
        <v>618</v>
      </c>
      <c r="B35" s="57" t="n">
        <f aca="false">B34/B27</f>
        <v>9.9626387538791</v>
      </c>
      <c r="C35" s="57" t="n">
        <f aca="false">C34/C27</f>
        <v>9.38367644177106</v>
      </c>
      <c r="D35" s="57" t="n">
        <f aca="false">D34/D27</f>
        <v>8.83247821940954</v>
      </c>
      <c r="E35" s="57" t="n">
        <f aca="false">E34/E27</f>
        <v>8.30782839497463</v>
      </c>
      <c r="F35" s="57" t="n">
        <f aca="false">F34/F27</f>
        <v>7.80856174770748</v>
      </c>
      <c r="G35" s="57" t="n">
        <f aca="false">G34/G27</f>
        <v>7.33356150461373</v>
      </c>
    </row>
    <row r="37" customFormat="false" ht="15" hidden="false" customHeight="true" outlineLevel="0" collapsed="false">
      <c r="A37" s="6" t="s">
        <v>619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customFormat="false" ht="15" hidden="false" customHeight="true" outlineLevel="0" collapsed="false">
      <c r="A38" s="8" t="s">
        <v>620</v>
      </c>
      <c r="B38" s="32" t="n">
        <f aca="false">G25*(1+B6)</f>
        <v>803577.728639999</v>
      </c>
    </row>
    <row r="39" customFormat="false" ht="15" hidden="false" customHeight="true" outlineLevel="0" collapsed="false">
      <c r="A39" s="8" t="s">
        <v>621</v>
      </c>
      <c r="B39" s="34" t="n">
        <f aca="false">B10</f>
        <v>0.0425</v>
      </c>
    </row>
    <row r="40" customFormat="false" ht="15" hidden="false" customHeight="true" outlineLevel="0" collapsed="false">
      <c r="A40" s="8" t="s">
        <v>622</v>
      </c>
      <c r="B40" s="32" t="n">
        <f aca="false">B38/B39</f>
        <v>18907711.2621176</v>
      </c>
    </row>
    <row r="41" customFormat="false" ht="15" hidden="false" customHeight="true" outlineLevel="0" collapsed="false">
      <c r="A41" s="8" t="s">
        <v>623</v>
      </c>
      <c r="B41" s="32" t="n">
        <f aca="false">-G34+150000</f>
        <v>-5064851</v>
      </c>
    </row>
    <row r="42" customFormat="false" ht="15" hidden="false" customHeight="true" outlineLevel="0" collapsed="false">
      <c r="A42" s="8" t="s">
        <v>624</v>
      </c>
      <c r="B42" s="36" t="n">
        <f aca="false">B40+B41+250000</f>
        <v>14092860.2621176</v>
      </c>
    </row>
    <row r="43" customFormat="false" ht="15" hidden="false" customHeight="true" outlineLevel="0" collapsed="false">
      <c r="A43" s="8" t="s">
        <v>625</v>
      </c>
      <c r="B43" s="66" t="n">
        <f aca="false">B42/B15</f>
        <v>3.7947636056987</v>
      </c>
    </row>
    <row r="45" customFormat="false" ht="15" hidden="false" customHeight="true" outlineLevel="0" collapsed="false">
      <c r="A45" s="6" t="s">
        <v>626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customFormat="false" ht="15" hidden="false" customHeight="true" outlineLevel="0" collapsed="false">
      <c r="A46" s="8" t="s">
        <v>627</v>
      </c>
      <c r="B46" s="41" t="n">
        <v>0</v>
      </c>
      <c r="C46" s="41" t="n">
        <v>1</v>
      </c>
      <c r="D46" s="41" t="n">
        <v>2</v>
      </c>
      <c r="E46" s="41" t="n">
        <v>3</v>
      </c>
      <c r="F46" s="41" t="n">
        <v>4</v>
      </c>
      <c r="G46" s="41" t="n">
        <v>5</v>
      </c>
    </row>
    <row r="47" customFormat="false" ht="15" hidden="false" customHeight="true" outlineLevel="0" collapsed="false">
      <c r="A47" s="8" t="s">
        <v>628</v>
      </c>
      <c r="B47" s="32" t="n">
        <f aca="false">-B15</f>
        <v>-3713765</v>
      </c>
      <c r="C47" s="32" t="n">
        <f aca="false">C31</f>
        <v>217910.34</v>
      </c>
      <c r="D47" s="32" t="n">
        <f aca="false">D31</f>
        <v>236183.2869</v>
      </c>
      <c r="E47" s="32" t="n">
        <f aca="false">E31</f>
        <v>254927.7869415</v>
      </c>
      <c r="F47" s="32" t="n">
        <f aca="false">F31</f>
        <v>274160.344484452</v>
      </c>
      <c r="G47" s="32" t="n">
        <f aca="false">G31+B42</f>
        <v>14386758.303659</v>
      </c>
    </row>
    <row r="48" customFormat="false" ht="15" hidden="false" customHeight="true" outlineLevel="0" collapsed="false">
      <c r="A48" s="8" t="s">
        <v>629</v>
      </c>
      <c r="B48" s="69" t="n">
        <f aca="false">IRR(B47:G47)</f>
        <v>0.347787905534135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S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8"/>
    <col collapsed="false" customWidth="true" hidden="false" outlineLevel="0" max="17" min="2" style="1" width="13"/>
    <col collapsed="false" customWidth="true" hidden="false" outlineLevel="0" max="19" min="19" style="1" width="55"/>
  </cols>
  <sheetData>
    <row r="1" customFormat="false" ht="1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630</v>
      </c>
    </row>
    <row r="3" customFormat="false" ht="15" hidden="false" customHeight="true" outlineLevel="0" collapsed="false">
      <c r="A3" s="4" t="s">
        <v>631</v>
      </c>
    </row>
    <row r="5" customFormat="false" ht="15" hidden="false" customHeight="true" outlineLevel="0" collapsed="false">
      <c r="B5" s="5" t="s">
        <v>233</v>
      </c>
      <c r="C5" s="5" t="s">
        <v>234</v>
      </c>
      <c r="D5" s="5" t="s">
        <v>235</v>
      </c>
      <c r="E5" s="5" t="s">
        <v>236</v>
      </c>
      <c r="F5" s="5" t="s">
        <v>237</v>
      </c>
      <c r="G5" s="5" t="s">
        <v>238</v>
      </c>
      <c r="H5" s="5" t="s">
        <v>239</v>
      </c>
      <c r="I5" s="5" t="s">
        <v>240</v>
      </c>
      <c r="J5" s="5" t="s">
        <v>241</v>
      </c>
      <c r="K5" s="5" t="s">
        <v>242</v>
      </c>
      <c r="L5" s="5" t="s">
        <v>243</v>
      </c>
      <c r="M5" s="5" t="s">
        <v>3</v>
      </c>
      <c r="N5" s="5" t="s">
        <v>4</v>
      </c>
      <c r="O5" s="5" t="s">
        <v>5</v>
      </c>
      <c r="P5" s="5" t="s">
        <v>6</v>
      </c>
      <c r="Q5" s="5" t="s">
        <v>7</v>
      </c>
    </row>
    <row r="7" customFormat="false" ht="15" hidden="false" customHeight="true" outlineLevel="0" collapsed="false">
      <c r="A7" s="6" t="s">
        <v>632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customFormat="false" ht="15" hidden="false" customHeight="true" outlineLevel="0" collapsed="false">
      <c r="A8" s="8" t="s">
        <v>633</v>
      </c>
      <c r="B8" s="35" t="n">
        <v>506629</v>
      </c>
      <c r="C8" s="35" t="n">
        <v>567744</v>
      </c>
      <c r="D8" s="35" t="n">
        <v>608146</v>
      </c>
      <c r="E8" s="35" t="n">
        <v>651203</v>
      </c>
      <c r="F8" s="35" t="n">
        <v>680884</v>
      </c>
      <c r="G8" s="35" t="n">
        <v>775675</v>
      </c>
      <c r="H8" s="35" t="n">
        <v>819219</v>
      </c>
      <c r="I8" s="35" t="n">
        <v>822091</v>
      </c>
      <c r="J8" s="35" t="n">
        <v>937110</v>
      </c>
      <c r="K8" s="35" t="n">
        <v>975028</v>
      </c>
      <c r="L8" s="35" t="n">
        <v>943222</v>
      </c>
      <c r="M8" s="27" t="n">
        <f aca="false">L8*(1+Assumptions!B8)</f>
        <v>973367.37512</v>
      </c>
      <c r="N8" s="27" t="n">
        <f aca="false">M8*(1+Assumptions!C8)</f>
        <v>1004476.19642884</v>
      </c>
      <c r="O8" s="27" t="n">
        <f aca="false">N8*(1+Assumptions!D8)</f>
        <v>1036579.2556667</v>
      </c>
      <c r="P8" s="27" t="n">
        <f aca="false">O8*(1+Assumptions!E8)</f>
        <v>1069708.32867781</v>
      </c>
      <c r="Q8" s="27" t="n">
        <f aca="false">P8*(1+Assumptions!F8)</f>
        <v>1103896.20686235</v>
      </c>
    </row>
    <row r="9" customFormat="false" ht="15" hidden="false" customHeight="true" outlineLevel="0" collapsed="false">
      <c r="A9" s="8" t="s">
        <v>634</v>
      </c>
      <c r="B9" s="35" t="n">
        <v>0</v>
      </c>
      <c r="C9" s="35" t="n">
        <v>0</v>
      </c>
      <c r="D9" s="35" t="n">
        <v>0</v>
      </c>
      <c r="E9" s="35" t="n">
        <v>0</v>
      </c>
      <c r="F9" s="35" t="n">
        <v>97000</v>
      </c>
      <c r="G9" s="35" t="n">
        <v>106968</v>
      </c>
      <c r="H9" s="35" t="n">
        <v>113918</v>
      </c>
      <c r="I9" s="35" t="n">
        <v>122169</v>
      </c>
      <c r="J9" s="35" t="n">
        <v>128207</v>
      </c>
      <c r="K9" s="35" t="n">
        <v>137714</v>
      </c>
      <c r="L9" s="35" t="n">
        <v>60142</v>
      </c>
      <c r="M9" s="27" t="n">
        <f aca="false">Assumptions!B24</f>
        <v>35000</v>
      </c>
      <c r="N9" s="27" t="n">
        <f aca="false">Assumptions!C24</f>
        <v>14000</v>
      </c>
      <c r="O9" s="27" t="n">
        <f aca="false">Assumptions!D24</f>
        <v>0</v>
      </c>
      <c r="P9" s="27" t="n">
        <f aca="false">Assumptions!E24</f>
        <v>0</v>
      </c>
      <c r="Q9" s="27" t="n">
        <f aca="false">Assumptions!F24</f>
        <v>0</v>
      </c>
    </row>
    <row r="10" customFormat="false" ht="15" hidden="false" customHeight="true" outlineLevel="0" collapsed="false">
      <c r="A10" s="8" t="s">
        <v>635</v>
      </c>
      <c r="B10" s="35" t="n">
        <v>27169</v>
      </c>
      <c r="C10" s="35" t="n">
        <v>29087</v>
      </c>
      <c r="D10" s="35" t="n">
        <v>30696</v>
      </c>
      <c r="E10" s="35" t="n">
        <v>37382</v>
      </c>
      <c r="F10" s="35" t="n">
        <v>0</v>
      </c>
      <c r="G10" s="35" t="n">
        <v>0</v>
      </c>
      <c r="H10" s="35" t="n">
        <v>0</v>
      </c>
      <c r="I10" s="35" t="n">
        <v>63008</v>
      </c>
      <c r="J10" s="35" t="n">
        <v>0</v>
      </c>
      <c r="K10" s="35" t="n">
        <v>0</v>
      </c>
      <c r="L10" s="35" t="n">
        <v>0</v>
      </c>
      <c r="M10" s="35" t="n">
        <v>0</v>
      </c>
      <c r="N10" s="35" t="n">
        <v>0</v>
      </c>
      <c r="O10" s="35" t="n">
        <v>0</v>
      </c>
      <c r="P10" s="35" t="n">
        <v>0</v>
      </c>
      <c r="Q10" s="35" t="n">
        <v>0</v>
      </c>
    </row>
    <row r="11" customFormat="false" ht="15" hidden="false" customHeight="true" outlineLevel="0" collapsed="false">
      <c r="A11" s="8" t="s">
        <v>636</v>
      </c>
      <c r="B11" s="36" t="n">
        <f aca="false">B8+B9+B10</f>
        <v>533798</v>
      </c>
      <c r="C11" s="36" t="n">
        <f aca="false">C8+C9+C10</f>
        <v>596831</v>
      </c>
      <c r="D11" s="36" t="n">
        <f aca="false">D8+D9+D10</f>
        <v>638842</v>
      </c>
      <c r="E11" s="36" t="n">
        <f aca="false">E8+E9+E10</f>
        <v>688585</v>
      </c>
      <c r="F11" s="36" t="n">
        <f aca="false">F8+F9+F10</f>
        <v>777884</v>
      </c>
      <c r="G11" s="36" t="n">
        <f aca="false">G8+G9+G10</f>
        <v>882643</v>
      </c>
      <c r="H11" s="36" t="n">
        <f aca="false">H8+H9+H10</f>
        <v>933137</v>
      </c>
      <c r="I11" s="36" t="n">
        <f aca="false">I8+I9+I10</f>
        <v>1007268</v>
      </c>
      <c r="J11" s="36" t="n">
        <f aca="false">J8+J9+J10</f>
        <v>1065317</v>
      </c>
      <c r="K11" s="36" t="n">
        <f aca="false">K8+K9+K10</f>
        <v>1112742</v>
      </c>
      <c r="L11" s="36" t="n">
        <f aca="false">L8+L9+L10</f>
        <v>1003364</v>
      </c>
      <c r="M11" s="36" t="n">
        <f aca="false">M8+M9+M10</f>
        <v>1008367.37512</v>
      </c>
      <c r="N11" s="36" t="n">
        <f aca="false">N8+N9+N10</f>
        <v>1018476.19642884</v>
      </c>
      <c r="O11" s="36" t="n">
        <f aca="false">O8+O9+O10</f>
        <v>1036579.2556667</v>
      </c>
      <c r="P11" s="36" t="n">
        <f aca="false">P8+P9+P10</f>
        <v>1069708.32867781</v>
      </c>
      <c r="Q11" s="36" t="n">
        <f aca="false">Q8+Q9+Q10</f>
        <v>1103896.20686235</v>
      </c>
    </row>
    <row r="12" customFormat="false" ht="15" hidden="false" customHeight="true" outlineLevel="0" collapsed="false">
      <c r="A12" s="8" t="s">
        <v>637</v>
      </c>
      <c r="B12" s="70" t="n">
        <f aca="false">IS!B8</f>
        <v>533798</v>
      </c>
      <c r="C12" s="70" t="n">
        <f aca="false">IS!C8</f>
        <v>596831</v>
      </c>
      <c r="D12" s="70" t="n">
        <f aca="false">IS!D8</f>
        <v>638842</v>
      </c>
      <c r="E12" s="70" t="n">
        <f aca="false">IS!E8</f>
        <v>688585</v>
      </c>
      <c r="F12" s="70" t="n">
        <f aca="false">IS!F8</f>
        <v>780780</v>
      </c>
      <c r="G12" s="70" t="n">
        <f aca="false">IS!G8</f>
        <v>882643</v>
      </c>
      <c r="H12" s="70" t="n">
        <f aca="false">IS!H8</f>
        <v>933137</v>
      </c>
      <c r="I12" s="70" t="n">
        <f aca="false">IS!I8</f>
        <v>1007268</v>
      </c>
      <c r="J12" s="70" t="n">
        <f aca="false">IS!J8</f>
        <v>1065317</v>
      </c>
      <c r="K12" s="70" t="n">
        <f aca="false">IS!K8</f>
        <v>1112742</v>
      </c>
      <c r="L12" s="70" t="n">
        <f aca="false">IS!L8</f>
        <v>1003364</v>
      </c>
      <c r="M12" s="70" t="n">
        <f aca="false">IS!M8</f>
        <v>1008367.37512</v>
      </c>
      <c r="N12" s="70" t="n">
        <f aca="false">IS!N8</f>
        <v>1018476.19642884</v>
      </c>
      <c r="O12" s="70" t="n">
        <f aca="false">IS!O8</f>
        <v>1036579.2556667</v>
      </c>
      <c r="P12" s="70" t="n">
        <f aca="false">IS!P8</f>
        <v>1069708.32867781</v>
      </c>
      <c r="Q12" s="70" t="n">
        <f aca="false">IS!Q8</f>
        <v>1103896.20686235</v>
      </c>
    </row>
    <row r="13" customFormat="false" ht="15" hidden="false" customHeight="true" outlineLevel="0" collapsed="false">
      <c r="A13" s="8" t="s">
        <v>638</v>
      </c>
      <c r="B13" s="70" t="n">
        <f aca="false">B11-B12</f>
        <v>0</v>
      </c>
      <c r="C13" s="70" t="n">
        <f aca="false">C11-C12</f>
        <v>0</v>
      </c>
      <c r="D13" s="70" t="n">
        <f aca="false">D11-D12</f>
        <v>0</v>
      </c>
      <c r="E13" s="70" t="n">
        <f aca="false">E11-E12</f>
        <v>0</v>
      </c>
      <c r="F13" s="70" t="n">
        <f aca="false">F11-F12</f>
        <v>-2896</v>
      </c>
      <c r="G13" s="70" t="n">
        <f aca="false">G11-G12</f>
        <v>0</v>
      </c>
      <c r="H13" s="70" t="n">
        <f aca="false">H11-H12</f>
        <v>0</v>
      </c>
      <c r="I13" s="70" t="n">
        <f aca="false">I11-I12</f>
        <v>0</v>
      </c>
      <c r="J13" s="70" t="n">
        <f aca="false">J11-J12</f>
        <v>0</v>
      </c>
      <c r="K13" s="70" t="n">
        <f aca="false">K11-K12</f>
        <v>0</v>
      </c>
      <c r="L13" s="70" t="n">
        <f aca="false">L11-L12</f>
        <v>0</v>
      </c>
      <c r="M13" s="70" t="n">
        <f aca="false">M11-M12</f>
        <v>0</v>
      </c>
      <c r="N13" s="70" t="n">
        <f aca="false">N11-N12</f>
        <v>0</v>
      </c>
      <c r="O13" s="70" t="n">
        <f aca="false">O11-O12</f>
        <v>0</v>
      </c>
      <c r="P13" s="70" t="n">
        <f aca="false">P11-P12</f>
        <v>0</v>
      </c>
      <c r="Q13" s="70" t="n">
        <f aca="false">Q11-Q12</f>
        <v>0</v>
      </c>
    </row>
    <row r="15" customFormat="false" ht="15" hidden="false" customHeight="true" outlineLevel="0" collapsed="false">
      <c r="A15" s="6" t="s">
        <v>639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customFormat="false" ht="15" hidden="false" customHeight="true" outlineLevel="0" collapsed="false">
      <c r="A16" s="8" t="s">
        <v>640</v>
      </c>
      <c r="B16" s="35" t="n">
        <v>305881</v>
      </c>
      <c r="C16" s="35" t="n">
        <v>348214</v>
      </c>
      <c r="D16" s="35" t="n">
        <v>362562</v>
      </c>
      <c r="E16" s="35" t="n">
        <v>415296</v>
      </c>
      <c r="F16" s="35" t="n">
        <v>451942</v>
      </c>
      <c r="G16" s="35" t="n">
        <v>496700</v>
      </c>
      <c r="H16" s="35" t="n">
        <v>521786</v>
      </c>
      <c r="I16" s="35" t="n">
        <v>540652</v>
      </c>
      <c r="J16" s="35" t="n">
        <v>565538</v>
      </c>
      <c r="K16" s="35" t="n">
        <v>622718</v>
      </c>
      <c r="L16" s="35" t="n">
        <v>610407</v>
      </c>
      <c r="M16" s="27" t="n">
        <f aca="false">L16+L8*Assumptions!B8-(L8-L16)*Assumptions!B20</f>
        <v>630634.48812</v>
      </c>
      <c r="N16" s="27" t="n">
        <f aca="false">M16+M8*Assumptions!C8-(M8-M16)*Assumptions!C20</f>
        <v>651529.869396235</v>
      </c>
      <c r="O16" s="27" t="n">
        <f aca="false">N16+N8*Assumptions!D8-(N8-N16)*Assumptions!D20</f>
        <v>673115.128088529</v>
      </c>
      <c r="P16" s="27" t="n">
        <f aca="false">O16+O8*Assumptions!E8-(O8-O16)*Assumptions!E20</f>
        <v>695412.970097808</v>
      </c>
      <c r="Q16" s="27" t="n">
        <f aca="false">P16+P8*Assumptions!F8-(P8-P16)*Assumptions!F20</f>
        <v>718446.846596666</v>
      </c>
      <c r="S16" s="4" t="s">
        <v>641</v>
      </c>
    </row>
    <row r="17" customFormat="false" ht="15" hidden="false" customHeight="true" outlineLevel="0" collapsed="false">
      <c r="A17" s="8" t="s">
        <v>642</v>
      </c>
      <c r="B17" s="35" t="n">
        <v>0</v>
      </c>
      <c r="C17" s="35" t="n">
        <v>0</v>
      </c>
      <c r="D17" s="35" t="n">
        <v>11356</v>
      </c>
      <c r="E17" s="35" t="n">
        <v>4123</v>
      </c>
      <c r="F17" s="35" t="n">
        <v>33208</v>
      </c>
      <c r="G17" s="35" t="n">
        <v>41371</v>
      </c>
      <c r="H17" s="35" t="n">
        <v>41891</v>
      </c>
      <c r="I17" s="35" t="n">
        <v>46749</v>
      </c>
      <c r="J17" s="35" t="n">
        <v>61842</v>
      </c>
      <c r="K17" s="35" t="n">
        <v>69710</v>
      </c>
      <c r="L17" s="35" t="n">
        <v>43304</v>
      </c>
      <c r="M17" s="27" t="n">
        <f aca="false">Assumptions!B23</f>
        <v>25000</v>
      </c>
      <c r="N17" s="27" t="n">
        <f aca="false">Assumptions!C23</f>
        <v>10000</v>
      </c>
      <c r="O17" s="27" t="n">
        <f aca="false">Assumptions!D23</f>
        <v>0</v>
      </c>
      <c r="P17" s="27" t="n">
        <f aca="false">Assumptions!E23</f>
        <v>0</v>
      </c>
      <c r="Q17" s="27" t="n">
        <f aca="false">Assumptions!F23</f>
        <v>0</v>
      </c>
      <c r="S17" s="4" t="s">
        <v>643</v>
      </c>
    </row>
    <row r="18" customFormat="false" ht="15" hidden="false" customHeight="true" outlineLevel="0" collapsed="false">
      <c r="A18" s="8" t="s">
        <v>644</v>
      </c>
      <c r="B18" s="35" t="n">
        <v>18733</v>
      </c>
      <c r="C18" s="35" t="n">
        <v>18733</v>
      </c>
      <c r="D18" s="35" t="n">
        <v>19340</v>
      </c>
      <c r="E18" s="35" t="n">
        <v>19637</v>
      </c>
      <c r="F18" s="35" t="n">
        <v>23000</v>
      </c>
      <c r="G18" s="35" t="n">
        <v>40100</v>
      </c>
      <c r="H18" s="35" t="n">
        <v>46316</v>
      </c>
      <c r="I18" s="35" t="n">
        <v>63008</v>
      </c>
      <c r="J18" s="35" t="n">
        <v>65406</v>
      </c>
      <c r="K18" s="35" t="n">
        <v>38226</v>
      </c>
      <c r="L18" s="35" t="n">
        <v>0</v>
      </c>
      <c r="M18" s="35" t="n">
        <v>0</v>
      </c>
      <c r="N18" s="35" t="n">
        <v>0</v>
      </c>
      <c r="O18" s="35" t="n">
        <v>0</v>
      </c>
      <c r="P18" s="35" t="n">
        <v>0</v>
      </c>
      <c r="Q18" s="35" t="n">
        <v>0</v>
      </c>
      <c r="S18" s="4" t="s">
        <v>645</v>
      </c>
    </row>
    <row r="19" customFormat="false" ht="15" hidden="false" customHeight="true" outlineLevel="0" collapsed="false">
      <c r="A19" s="8" t="s">
        <v>646</v>
      </c>
      <c r="B19" s="36" t="n">
        <f aca="false">B16+B17+B18</f>
        <v>324614</v>
      </c>
      <c r="C19" s="36" t="n">
        <f aca="false">C16+C17+C18</f>
        <v>366947</v>
      </c>
      <c r="D19" s="36" t="n">
        <f aca="false">D16+D17+D18</f>
        <v>393258</v>
      </c>
      <c r="E19" s="36" t="n">
        <f aca="false">E16+E17+E18</f>
        <v>439056</v>
      </c>
      <c r="F19" s="36" t="n">
        <f aca="false">F16+F17+F18</f>
        <v>508150</v>
      </c>
      <c r="G19" s="36" t="n">
        <f aca="false">G16+G17+G18</f>
        <v>578171</v>
      </c>
      <c r="H19" s="36" t="n">
        <f aca="false">H16+H17+H18</f>
        <v>609993</v>
      </c>
      <c r="I19" s="36" t="n">
        <f aca="false">I16+I17+I18</f>
        <v>650409</v>
      </c>
      <c r="J19" s="36" t="n">
        <f aca="false">J16+J17+J18</f>
        <v>692786</v>
      </c>
      <c r="K19" s="36" t="n">
        <f aca="false">K16+K17+K18</f>
        <v>730654</v>
      </c>
      <c r="L19" s="36" t="n">
        <f aca="false">L16+L17+L18</f>
        <v>653711</v>
      </c>
      <c r="M19" s="36" t="n">
        <f aca="false">M16+M17+M18</f>
        <v>655634.48812</v>
      </c>
      <c r="N19" s="36" t="n">
        <f aca="false">N16+N17+N18</f>
        <v>661529.869396235</v>
      </c>
      <c r="O19" s="36" t="n">
        <f aca="false">O16+O17+O18</f>
        <v>673115.128088529</v>
      </c>
      <c r="P19" s="36" t="n">
        <f aca="false">P16+P17+P18</f>
        <v>695412.970097808</v>
      </c>
      <c r="Q19" s="36" t="n">
        <f aca="false">Q16+Q17+Q18</f>
        <v>718446.846596666</v>
      </c>
    </row>
    <row r="20" customFormat="false" ht="15" hidden="false" customHeight="true" outlineLevel="0" collapsed="false">
      <c r="A20" s="8" t="s">
        <v>647</v>
      </c>
      <c r="B20" s="35" t="n">
        <v>0</v>
      </c>
      <c r="C20" s="35" t="n">
        <v>0</v>
      </c>
      <c r="D20" s="35" t="n">
        <v>0</v>
      </c>
      <c r="E20" s="35" t="n">
        <v>0</v>
      </c>
      <c r="F20" s="35" t="n">
        <v>0</v>
      </c>
      <c r="G20" s="35" t="n">
        <v>0</v>
      </c>
      <c r="H20" s="35" t="n">
        <v>0</v>
      </c>
      <c r="I20" s="35" t="n">
        <v>0</v>
      </c>
      <c r="J20" s="35" t="n">
        <v>0</v>
      </c>
      <c r="K20" s="35" t="n">
        <v>0</v>
      </c>
      <c r="L20" s="35" t="n">
        <v>0</v>
      </c>
      <c r="M20" s="27" t="n">
        <f aca="false">Assumptions!B31+Assumptions!B32</f>
        <v>0</v>
      </c>
      <c r="N20" s="27" t="n">
        <f aca="false">Assumptions!C31+Assumptions!C32</f>
        <v>0</v>
      </c>
      <c r="O20" s="27" t="n">
        <f aca="false">Assumptions!D31+Assumptions!D32</f>
        <v>0</v>
      </c>
      <c r="P20" s="27" t="n">
        <f aca="false">Assumptions!E31+Assumptions!E32</f>
        <v>0</v>
      </c>
      <c r="Q20" s="27" t="n">
        <f aca="false">Assumptions!F31+Assumptions!F32</f>
        <v>0</v>
      </c>
    </row>
    <row r="21" customFormat="false" ht="15" hidden="false" customHeight="true" outlineLevel="0" collapsed="false">
      <c r="A21" s="8" t="s">
        <v>648</v>
      </c>
      <c r="B21" s="35" t="n">
        <v>0</v>
      </c>
      <c r="C21" s="35" t="n">
        <v>0</v>
      </c>
      <c r="D21" s="35" t="n">
        <v>0</v>
      </c>
      <c r="E21" s="35" t="n">
        <v>0</v>
      </c>
      <c r="F21" s="35" t="n">
        <v>0</v>
      </c>
      <c r="G21" s="35" t="n">
        <v>0</v>
      </c>
      <c r="H21" s="35" t="n">
        <v>0</v>
      </c>
      <c r="I21" s="35" t="n">
        <v>0</v>
      </c>
      <c r="J21" s="35" t="n">
        <v>0</v>
      </c>
      <c r="K21" s="35" t="n">
        <v>0</v>
      </c>
      <c r="L21" s="35" t="n">
        <v>0</v>
      </c>
      <c r="M21" s="27" t="n">
        <f aca="false">-Assumptions!B35-Assumptions!B36</f>
        <v>-11250</v>
      </c>
      <c r="N21" s="27" t="n">
        <f aca="false">-Assumptions!C35-Assumptions!C36</f>
        <v>-27000</v>
      </c>
      <c r="O21" s="27" t="n">
        <f aca="false">-Assumptions!D35-Assumptions!D36</f>
        <v>-31500</v>
      </c>
      <c r="P21" s="27" t="n">
        <f aca="false">-Assumptions!E35-Assumptions!E36</f>
        <v>-31500</v>
      </c>
      <c r="Q21" s="27" t="n">
        <f aca="false">-Assumptions!F35-Assumptions!F36</f>
        <v>-31500</v>
      </c>
    </row>
    <row r="22" customFormat="false" ht="15" hidden="false" customHeight="true" outlineLevel="0" collapsed="false">
      <c r="A22" s="8" t="s">
        <v>649</v>
      </c>
      <c r="B22" s="36" t="n">
        <f aca="false">B19+B20+B21</f>
        <v>324614</v>
      </c>
      <c r="C22" s="36" t="n">
        <f aca="false">C19+C20+C21</f>
        <v>366947</v>
      </c>
      <c r="D22" s="36" t="n">
        <f aca="false">D19+D20+D21</f>
        <v>393258</v>
      </c>
      <c r="E22" s="36" t="n">
        <f aca="false">E19+E20+E21</f>
        <v>439056</v>
      </c>
      <c r="F22" s="36" t="n">
        <f aca="false">F19+F20+F21</f>
        <v>508150</v>
      </c>
      <c r="G22" s="36" t="n">
        <f aca="false">G19+G20+G21</f>
        <v>578171</v>
      </c>
      <c r="H22" s="36" t="n">
        <f aca="false">H19+H20+H21</f>
        <v>609993</v>
      </c>
      <c r="I22" s="36" t="n">
        <f aca="false">I19+I20+I21</f>
        <v>650409</v>
      </c>
      <c r="J22" s="36" t="n">
        <f aca="false">J19+J20+J21</f>
        <v>692786</v>
      </c>
      <c r="K22" s="36" t="n">
        <f aca="false">K19+K20+K21</f>
        <v>730654</v>
      </c>
      <c r="L22" s="36" t="n">
        <f aca="false">L19+L20+L21</f>
        <v>653711</v>
      </c>
      <c r="M22" s="36" t="n">
        <f aca="false">M19+M20+M21</f>
        <v>644384.48812</v>
      </c>
      <c r="N22" s="36" t="n">
        <f aca="false">N19+N20+N21</f>
        <v>634529.869396235</v>
      </c>
      <c r="O22" s="36" t="n">
        <f aca="false">O19+O20+O21</f>
        <v>641615.128088529</v>
      </c>
      <c r="P22" s="36" t="n">
        <f aca="false">P19+P20+P21</f>
        <v>663912.970097808</v>
      </c>
      <c r="Q22" s="36" t="n">
        <f aca="false">Q19+Q20+Q21</f>
        <v>686946.846596666</v>
      </c>
    </row>
    <row r="23" customFormat="false" ht="15" hidden="false" customHeight="true" outlineLevel="0" collapsed="false">
      <c r="A23" s="8" t="s">
        <v>650</v>
      </c>
      <c r="B23" s="70" t="n">
        <f aca="false">IS!B11</f>
        <v>324614</v>
      </c>
      <c r="C23" s="70" t="n">
        <f aca="false">IS!C11</f>
        <v>366947</v>
      </c>
      <c r="D23" s="70" t="n">
        <f aca="false">IS!D11</f>
        <v>393258</v>
      </c>
      <c r="E23" s="70" t="n">
        <f aca="false">IS!E11</f>
        <v>439056</v>
      </c>
      <c r="F23" s="70" t="n">
        <f aca="false">IS!F11</f>
        <v>508150</v>
      </c>
      <c r="G23" s="70" t="n">
        <f aca="false">IS!G11</f>
        <v>578171</v>
      </c>
      <c r="H23" s="70" t="n">
        <f aca="false">IS!H11</f>
        <v>609993</v>
      </c>
      <c r="I23" s="70" t="n">
        <f aca="false">IS!I11</f>
        <v>650409</v>
      </c>
      <c r="J23" s="70" t="n">
        <f aca="false">IS!J11</f>
        <v>692786</v>
      </c>
      <c r="K23" s="70" t="n">
        <f aca="false">IS!K11</f>
        <v>730654</v>
      </c>
      <c r="L23" s="70" t="n">
        <f aca="false">IS!L11</f>
        <v>653711</v>
      </c>
      <c r="M23" s="70" t="n">
        <f aca="false">IS!M11</f>
        <v>644384.48812</v>
      </c>
      <c r="N23" s="70" t="n">
        <f aca="false">IS!N11</f>
        <v>634529.869396235</v>
      </c>
      <c r="O23" s="70" t="n">
        <f aca="false">IS!O11</f>
        <v>641615.128088529</v>
      </c>
      <c r="P23" s="70" t="n">
        <f aca="false">IS!P11</f>
        <v>663912.970097808</v>
      </c>
      <c r="Q23" s="70" t="n">
        <f aca="false">IS!Q11</f>
        <v>686946.846596666</v>
      </c>
    </row>
    <row r="25" customFormat="false" ht="15" hidden="false" customHeight="true" outlineLevel="0" collapsed="false">
      <c r="A25" s="6" t="s">
        <v>651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customFormat="false" ht="15" hidden="false" customHeight="true" outlineLevel="0" collapsed="false">
      <c r="A26" s="8" t="s">
        <v>652</v>
      </c>
      <c r="B26" s="35" t="n">
        <v>6894</v>
      </c>
      <c r="C26" s="35" t="n">
        <v>10600</v>
      </c>
      <c r="D26" s="35" t="n">
        <v>15345</v>
      </c>
      <c r="E26" s="35" t="n">
        <v>32633</v>
      </c>
      <c r="F26" s="35" t="n">
        <v>23440</v>
      </c>
      <c r="G26" s="35" t="n">
        <v>17173</v>
      </c>
      <c r="H26" s="35" t="n">
        <v>18455</v>
      </c>
      <c r="I26" s="35" t="n">
        <v>647</v>
      </c>
      <c r="J26" s="35" t="n">
        <v>0</v>
      </c>
      <c r="K26" s="35" t="n">
        <v>0</v>
      </c>
      <c r="L26" s="35" t="n">
        <v>0</v>
      </c>
      <c r="M26" s="35" t="n">
        <v>0</v>
      </c>
      <c r="N26" s="35" t="n">
        <v>0</v>
      </c>
      <c r="O26" s="35" t="n">
        <v>0</v>
      </c>
      <c r="P26" s="35" t="n">
        <v>0</v>
      </c>
      <c r="Q26" s="35" t="n">
        <v>0</v>
      </c>
      <c r="S26" s="4" t="s">
        <v>653</v>
      </c>
    </row>
    <row r="27" customFormat="false" ht="15" hidden="false" customHeight="true" outlineLevel="0" collapsed="false">
      <c r="A27" s="8" t="s">
        <v>654</v>
      </c>
      <c r="B27" s="35" t="n">
        <v>4024</v>
      </c>
      <c r="C27" s="35" t="n">
        <v>7006</v>
      </c>
      <c r="D27" s="35" t="n">
        <v>9707</v>
      </c>
      <c r="E27" s="35" t="n">
        <v>25159</v>
      </c>
      <c r="F27" s="35" t="n">
        <v>15201</v>
      </c>
      <c r="G27" s="35" t="n">
        <v>6141</v>
      </c>
      <c r="H27" s="35" t="n">
        <v>9271</v>
      </c>
      <c r="I27" s="35" t="n">
        <v>0</v>
      </c>
      <c r="J27" s="35" t="n">
        <v>0</v>
      </c>
      <c r="K27" s="35" t="n">
        <v>0</v>
      </c>
      <c r="L27" s="35" t="n">
        <v>0</v>
      </c>
      <c r="M27" s="35" t="n">
        <v>0</v>
      </c>
      <c r="N27" s="35" t="n">
        <v>0</v>
      </c>
      <c r="O27" s="35" t="n">
        <v>0</v>
      </c>
      <c r="P27" s="35" t="n">
        <v>0</v>
      </c>
      <c r="Q27" s="35" t="n">
        <v>0</v>
      </c>
      <c r="S27" s="4" t="s">
        <v>655</v>
      </c>
    </row>
    <row r="28" customFormat="false" ht="15" hidden="false" customHeight="true" outlineLevel="0" collapsed="false">
      <c r="A28" s="8" t="s">
        <v>656</v>
      </c>
      <c r="B28" s="32" t="n">
        <f aca="false">B26-B27</f>
        <v>2870</v>
      </c>
      <c r="C28" s="32" t="n">
        <f aca="false">C26-C27</f>
        <v>3594</v>
      </c>
      <c r="D28" s="32" t="n">
        <f aca="false">D26-D27</f>
        <v>5638</v>
      </c>
      <c r="E28" s="32" t="n">
        <f aca="false">E26-E27</f>
        <v>7474</v>
      </c>
      <c r="F28" s="32" t="n">
        <f aca="false">F26-F27</f>
        <v>8239</v>
      </c>
      <c r="G28" s="32" t="n">
        <f aca="false">G26-G27</f>
        <v>11032</v>
      </c>
      <c r="H28" s="32" t="n">
        <f aca="false">H26-H27</f>
        <v>9184</v>
      </c>
      <c r="I28" s="32" t="n">
        <f aca="false">I26-I27</f>
        <v>647</v>
      </c>
      <c r="J28" s="32" t="n">
        <f aca="false">J26-J27</f>
        <v>0</v>
      </c>
      <c r="K28" s="32" t="n">
        <f aca="false">K26-K27</f>
        <v>0</v>
      </c>
      <c r="L28" s="32" t="n">
        <f aca="false">L26-L27</f>
        <v>0</v>
      </c>
      <c r="M28" s="32" t="n">
        <f aca="false">M26-M27</f>
        <v>0</v>
      </c>
      <c r="N28" s="32" t="n">
        <f aca="false">N26-N27</f>
        <v>0</v>
      </c>
      <c r="O28" s="32" t="n">
        <f aca="false">O26-O27</f>
        <v>0</v>
      </c>
      <c r="P28" s="32" t="n">
        <f aca="false">P26-P27</f>
        <v>0</v>
      </c>
      <c r="Q28" s="32" t="n">
        <f aca="false">Q26-Q27</f>
        <v>0</v>
      </c>
      <c r="S28" s="4" t="s">
        <v>657</v>
      </c>
    </row>
    <row r="29" customFormat="false" ht="15" hidden="false" customHeight="true" outlineLevel="0" collapsed="false">
      <c r="A29" s="8" t="s">
        <v>658</v>
      </c>
      <c r="B29" s="35" t="n">
        <v>3316</v>
      </c>
      <c r="C29" s="35" t="n">
        <v>5195</v>
      </c>
      <c r="D29" s="35" t="n">
        <v>6173</v>
      </c>
      <c r="E29" s="35" t="n">
        <v>7285</v>
      </c>
      <c r="F29" s="35" t="n">
        <v>0</v>
      </c>
      <c r="G29" s="35" t="n">
        <v>9592</v>
      </c>
      <c r="H29" s="35" t="n">
        <v>9863</v>
      </c>
      <c r="I29" s="35" t="n">
        <v>2252</v>
      </c>
      <c r="J29" s="35" t="n">
        <v>0</v>
      </c>
      <c r="K29" s="35" t="n">
        <v>0</v>
      </c>
      <c r="L29" s="35" t="n">
        <v>0</v>
      </c>
      <c r="M29" s="35" t="n">
        <v>0</v>
      </c>
      <c r="N29" s="35" t="n">
        <v>0</v>
      </c>
      <c r="O29" s="35" t="n">
        <v>0</v>
      </c>
      <c r="P29" s="35" t="n">
        <v>0</v>
      </c>
      <c r="Q29" s="35" t="n">
        <v>0</v>
      </c>
      <c r="S29" s="4" t="s">
        <v>659</v>
      </c>
    </row>
    <row r="31" customFormat="false" ht="15" hidden="false" customHeight="true" outlineLevel="0" collapsed="false">
      <c r="A31" s="6" t="s">
        <v>660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customFormat="false" ht="15" hidden="false" customHeight="true" outlineLevel="0" collapsed="false">
      <c r="A32" s="8" t="s">
        <v>37</v>
      </c>
      <c r="B32" s="35" t="n">
        <v>0</v>
      </c>
      <c r="C32" s="35" t="n">
        <v>0</v>
      </c>
      <c r="D32" s="35" t="n">
        <v>0</v>
      </c>
      <c r="E32" s="35" t="n">
        <v>0</v>
      </c>
      <c r="F32" s="35" t="n">
        <v>364928</v>
      </c>
      <c r="G32" s="35" t="n">
        <v>328535</v>
      </c>
      <c r="H32" s="35" t="n">
        <v>356695</v>
      </c>
      <c r="I32" s="35" t="n">
        <v>242599</v>
      </c>
      <c r="J32" s="35" t="n">
        <v>186522</v>
      </c>
      <c r="K32" s="35" t="n">
        <v>170018</v>
      </c>
      <c r="L32" s="35" t="n">
        <v>84567</v>
      </c>
      <c r="M32" s="27" t="n">
        <f aca="false">Assumptions!B25</f>
        <v>40000</v>
      </c>
      <c r="N32" s="27" t="n">
        <f aca="false">Assumptions!C25</f>
        <v>15000</v>
      </c>
      <c r="O32" s="27" t="n">
        <f aca="false">Assumptions!D25</f>
        <v>0</v>
      </c>
      <c r="P32" s="27" t="n">
        <f aca="false">Assumptions!E25</f>
        <v>0</v>
      </c>
      <c r="Q32" s="27" t="n">
        <f aca="false">Assumptions!F25</f>
        <v>0</v>
      </c>
      <c r="S32" s="4" t="s">
        <v>661</v>
      </c>
    </row>
    <row r="33" customFormat="false" ht="15" hidden="false" customHeight="true" outlineLevel="0" collapsed="false">
      <c r="A33" s="8" t="s">
        <v>662</v>
      </c>
      <c r="B33" s="35" t="n">
        <v>0</v>
      </c>
      <c r="C33" s="35" t="n">
        <v>0</v>
      </c>
      <c r="D33" s="35" t="n">
        <v>0</v>
      </c>
      <c r="E33" s="35" t="n">
        <v>0</v>
      </c>
      <c r="F33" s="35" t="n">
        <v>0</v>
      </c>
      <c r="G33" s="35" t="n">
        <v>12542</v>
      </c>
      <c r="H33" s="35" t="n">
        <v>12756</v>
      </c>
      <c r="I33" s="35" t="n">
        <v>9274</v>
      </c>
      <c r="J33" s="35" t="n">
        <v>10868</v>
      </c>
      <c r="K33" s="35" t="n">
        <v>134990</v>
      </c>
      <c r="L33" s="35" t="n">
        <v>128087</v>
      </c>
      <c r="M33" s="27" t="n">
        <f aca="false">Assumptions!B26</f>
        <v>60000</v>
      </c>
      <c r="N33" s="27" t="n">
        <f aca="false">Assumptions!C26</f>
        <v>20000</v>
      </c>
      <c r="O33" s="27" t="n">
        <f aca="false">Assumptions!D26</f>
        <v>0</v>
      </c>
      <c r="P33" s="27" t="n">
        <f aca="false">Assumptions!E26</f>
        <v>0</v>
      </c>
      <c r="Q33" s="27" t="n">
        <f aca="false">Assumptions!F26</f>
        <v>0</v>
      </c>
      <c r="S33" s="4" t="s">
        <v>663</v>
      </c>
    </row>
    <row r="34" customFormat="false" ht="15" hidden="false" customHeight="true" outlineLevel="0" collapsed="false">
      <c r="A34" s="8" t="s">
        <v>664</v>
      </c>
      <c r="B34" s="35" t="n">
        <v>0</v>
      </c>
      <c r="C34" s="35" t="n">
        <v>0</v>
      </c>
      <c r="D34" s="35" t="n">
        <v>0</v>
      </c>
      <c r="E34" s="35" t="n">
        <v>0</v>
      </c>
      <c r="F34" s="35" t="n">
        <v>4706</v>
      </c>
      <c r="G34" s="35" t="n">
        <v>16275</v>
      </c>
      <c r="H34" s="35" t="n">
        <v>17138</v>
      </c>
      <c r="I34" s="35" t="n">
        <v>18011</v>
      </c>
      <c r="J34" s="35" t="n">
        <v>15452</v>
      </c>
      <c r="K34" s="35" t="n">
        <v>18736</v>
      </c>
      <c r="L34" s="35" t="n">
        <v>7276</v>
      </c>
      <c r="M34" s="32" t="n">
        <f aca="false">M17*0.35</f>
        <v>8750</v>
      </c>
      <c r="N34" s="32" t="n">
        <f aca="false">N17*0.35</f>
        <v>3500</v>
      </c>
      <c r="O34" s="32" t="n">
        <f aca="false">O17*0.35</f>
        <v>0</v>
      </c>
      <c r="P34" s="32" t="n">
        <f aca="false">P17*0.35</f>
        <v>0</v>
      </c>
      <c r="Q34" s="32" t="n">
        <f aca="false">Q17*0.35</f>
        <v>0</v>
      </c>
      <c r="S34" s="4" t="s">
        <v>665</v>
      </c>
    </row>
    <row r="36" customFormat="false" ht="15" hidden="false" customHeight="true" outlineLevel="0" collapsed="false">
      <c r="A36" s="6" t="s">
        <v>666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customFormat="false" ht="15" hidden="false" customHeight="true" outlineLevel="0" collapsed="false">
      <c r="A37" s="8" t="s">
        <v>667</v>
      </c>
      <c r="C37" s="43" t="n">
        <v>0.033</v>
      </c>
      <c r="D37" s="43" t="n">
        <v>0.045</v>
      </c>
      <c r="E37" s="43" t="n">
        <v>0.035</v>
      </c>
      <c r="F37" s="43" t="n">
        <v>0.025</v>
      </c>
      <c r="G37" s="43" t="n">
        <v>0.015</v>
      </c>
      <c r="H37" s="43" t="n">
        <v>0.032</v>
      </c>
      <c r="I37" s="43" t="n">
        <v>0.044</v>
      </c>
      <c r="J37" s="43" t="n">
        <v>0.052</v>
      </c>
      <c r="K37" s="43" t="n">
        <v>0.046</v>
      </c>
      <c r="L37" s="43" t="n">
        <v>0.03</v>
      </c>
      <c r="M37" s="65" t="n">
        <f aca="false">Assumptions!B8-Assumptions!B20/3</f>
        <v>0.0220266666666667</v>
      </c>
      <c r="N37" s="65" t="n">
        <f aca="false">Assumptions!C8-Assumptions!C20/3</f>
        <v>0.0220266666666667</v>
      </c>
      <c r="O37" s="65" t="n">
        <f aca="false">Assumptions!D8-Assumptions!D20/3</f>
        <v>0.0220266666666667</v>
      </c>
      <c r="P37" s="65" t="n">
        <f aca="false">Assumptions!E8-Assumptions!E20/3</f>
        <v>0.0220266666666667</v>
      </c>
      <c r="Q37" s="65" t="n">
        <f aca="false">Assumptions!F8-Assumptions!F20/3</f>
        <v>0.0220266666666667</v>
      </c>
      <c r="S37" s="4" t="s">
        <v>668</v>
      </c>
    </row>
    <row r="39" customFormat="false" ht="15" hidden="false" customHeight="true" outlineLevel="0" collapsed="false">
      <c r="A39" s="6" t="s">
        <v>669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customFormat="false" ht="15" hidden="false" customHeight="true" outlineLevel="0" collapsed="false">
      <c r="A40" s="8" t="s">
        <v>670</v>
      </c>
      <c r="B40" s="43" t="n">
        <v>0.975</v>
      </c>
      <c r="C40" s="43" t="n">
        <v>0.986</v>
      </c>
      <c r="D40" s="43" t="n">
        <v>0.984</v>
      </c>
      <c r="E40" s="43" t="n">
        <v>0.989</v>
      </c>
      <c r="F40" s="43" t="n">
        <v>0.982</v>
      </c>
      <c r="G40" s="43" t="n">
        <v>0.976</v>
      </c>
      <c r="H40" s="43" t="n">
        <v>0.981</v>
      </c>
      <c r="I40" s="43" t="n">
        <v>0.979</v>
      </c>
      <c r="J40" s="43" t="n">
        <v>0.982</v>
      </c>
      <c r="K40" s="43" t="n">
        <v>0.972</v>
      </c>
      <c r="L40" s="43" t="n">
        <v>0.971</v>
      </c>
      <c r="M40" s="65" t="n">
        <f aca="false">Assumptions!B13</f>
        <v>0.975</v>
      </c>
      <c r="N40" s="65" t="n">
        <f aca="false">Assumptions!C13</f>
        <v>0.975</v>
      </c>
      <c r="O40" s="65" t="n">
        <f aca="false">Assumptions!D13</f>
        <v>0.975</v>
      </c>
      <c r="P40" s="65" t="n">
        <f aca="false">Assumptions!E13</f>
        <v>0.975</v>
      </c>
      <c r="Q40" s="65" t="n">
        <f aca="false">Assumptions!F13</f>
        <v>0.975</v>
      </c>
    </row>
    <row r="41" customFormat="false" ht="15" hidden="false" customHeight="true" outlineLevel="0" collapsed="false">
      <c r="A41" s="8" t="s">
        <v>671</v>
      </c>
      <c r="B41" s="42" t="n">
        <v>963</v>
      </c>
      <c r="C41" s="42" t="n">
        <v>1003</v>
      </c>
      <c r="D41" s="42" t="n">
        <v>1044</v>
      </c>
      <c r="E41" s="42" t="n">
        <v>1084</v>
      </c>
      <c r="F41" s="42" t="n">
        <v>1099</v>
      </c>
      <c r="G41" s="42" t="n">
        <v>1169</v>
      </c>
      <c r="H41" s="42" t="n">
        <v>1202</v>
      </c>
      <c r="I41" s="42" t="n">
        <v>1298</v>
      </c>
      <c r="J41" s="42" t="n">
        <v>1380</v>
      </c>
      <c r="K41" s="42" t="n">
        <v>1487</v>
      </c>
      <c r="L41" s="42" t="n">
        <v>1555</v>
      </c>
      <c r="M41" s="71" t="n">
        <f aca="false">Assumptions!B14</f>
        <v>1778</v>
      </c>
      <c r="N41" s="71" t="n">
        <f aca="false">Assumptions!C14</f>
        <v>1834.82488</v>
      </c>
      <c r="O41" s="71" t="n">
        <f aca="false">Assumptions!D14</f>
        <v>1893.4658831648</v>
      </c>
      <c r="P41" s="71" t="n">
        <f aca="false">Assumptions!E14</f>
        <v>1953.98105279075</v>
      </c>
      <c r="Q41" s="71" t="n">
        <f aca="false">Assumptions!F14</f>
        <v>2016.43028723794</v>
      </c>
    </row>
    <row r="43" customFormat="false" ht="15" hidden="false" customHeight="true" outlineLevel="0" collapsed="false">
      <c r="A43" s="6" t="s">
        <v>672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customFormat="false" ht="15" hidden="false" customHeight="true" outlineLevel="0" collapsed="false">
      <c r="A44" s="8" t="s">
        <v>443</v>
      </c>
      <c r="B44" s="62" t="n">
        <v>0.0339</v>
      </c>
      <c r="C44" s="62" t="n">
        <v>0.032</v>
      </c>
      <c r="D44" s="62" t="n">
        <v>0.0302</v>
      </c>
      <c r="E44" s="62" t="n">
        <v>0.0305</v>
      </c>
      <c r="F44" s="62" t="n">
        <v>0.0278</v>
      </c>
      <c r="G44" s="62" t="n">
        <v>0.0256</v>
      </c>
      <c r="H44" s="62" t="n">
        <v>0.0247</v>
      </c>
      <c r="I44" s="62" t="n">
        <v>0.0261</v>
      </c>
      <c r="J44" s="62" t="n">
        <v>0.029</v>
      </c>
      <c r="K44" s="62" t="n">
        <v>0.0299</v>
      </c>
      <c r="L44" s="62" t="n">
        <v>0.0308</v>
      </c>
      <c r="M44" s="33" t="n">
        <f aca="false">Assumptions!B52</f>
        <v>0.0294207383163983</v>
      </c>
      <c r="N44" s="33" t="n">
        <f aca="false">Assumptions!C52</f>
        <v>0.0299325720810011</v>
      </c>
      <c r="O44" s="33" t="n">
        <f aca="false">Assumptions!D52</f>
        <v>0.0302478799602694</v>
      </c>
      <c r="P44" s="33" t="n">
        <f aca="false">Assumptions!E52</f>
        <v>0.0303356268044381</v>
      </c>
      <c r="Q44" s="33" t="n">
        <f aca="false">Assumptions!F52</f>
        <v>0.030425018819368</v>
      </c>
    </row>
    <row r="45" customFormat="false" ht="15" hidden="false" customHeight="true" outlineLevel="0" collapsed="false">
      <c r="A45" s="8" t="s">
        <v>673</v>
      </c>
      <c r="B45" s="62" t="n">
        <v>0.0474</v>
      </c>
      <c r="C45" s="62" t="n">
        <v>0.0453</v>
      </c>
      <c r="D45" s="62" t="n">
        <v>0.0419</v>
      </c>
      <c r="E45" s="62" t="n">
        <v>0.039</v>
      </c>
      <c r="F45" s="62" t="n">
        <v>0.038</v>
      </c>
      <c r="G45" s="62" t="n">
        <v>0.0361</v>
      </c>
      <c r="H45" s="62" t="n">
        <v>0.0339</v>
      </c>
      <c r="I45" s="62" t="n">
        <v>0.0375</v>
      </c>
      <c r="J45" s="62" t="n">
        <v>0.0413</v>
      </c>
      <c r="K45" s="62" t="n">
        <v>0.0456</v>
      </c>
      <c r="L45" s="62" t="n">
        <v>0.042</v>
      </c>
    </row>
    <row r="47" customFormat="false" ht="15" hidden="false" customHeight="true" outlineLevel="0" collapsed="false">
      <c r="A47" s="6" t="s">
        <v>674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customFormat="false" ht="15" hidden="false" customHeight="true" outlineLevel="0" collapsed="false">
      <c r="A48" s="8" t="s">
        <v>675</v>
      </c>
      <c r="B48" s="29" t="n">
        <v>40501</v>
      </c>
      <c r="C48" s="29" t="n">
        <v>42316</v>
      </c>
      <c r="D48" s="29" t="n">
        <v>44168</v>
      </c>
      <c r="E48" s="29" t="n">
        <v>44935</v>
      </c>
      <c r="F48" s="29" t="n">
        <v>48872</v>
      </c>
      <c r="G48" s="29" t="n">
        <v>45887</v>
      </c>
      <c r="H48" s="29" t="n">
        <v>47419</v>
      </c>
      <c r="I48" s="29" t="n">
        <v>47485</v>
      </c>
      <c r="J48" s="29" t="n">
        <v>46840</v>
      </c>
      <c r="K48" s="29" t="n">
        <v>45154</v>
      </c>
      <c r="L48" s="29" t="n">
        <v>44876</v>
      </c>
      <c r="M48" s="30" t="n">
        <f aca="false">Assumptions!B61</f>
        <v>44000</v>
      </c>
      <c r="N48" s="30" t="n">
        <f aca="false">Assumptions!C61</f>
        <v>43500</v>
      </c>
      <c r="O48" s="30" t="n">
        <f aca="false">Assumptions!D61</f>
        <v>43500</v>
      </c>
      <c r="P48" s="30" t="n">
        <f aca="false">Assumptions!E61</f>
        <v>43500</v>
      </c>
      <c r="Q48" s="30" t="n">
        <f aca="false">Assumptions!F61</f>
        <v>43500</v>
      </c>
    </row>
    <row r="49" customFormat="false" ht="15" hidden="false" customHeight="true" outlineLevel="0" collapsed="false">
      <c r="A49" s="8" t="s">
        <v>676</v>
      </c>
      <c r="B49" s="29" t="n">
        <v>0</v>
      </c>
      <c r="C49" s="29" t="n">
        <v>0</v>
      </c>
      <c r="D49" s="29" t="n">
        <v>2088</v>
      </c>
      <c r="E49" s="29" t="n">
        <v>3348</v>
      </c>
      <c r="F49" s="29" t="n">
        <v>5600</v>
      </c>
      <c r="G49" s="29" t="n">
        <v>6047</v>
      </c>
      <c r="H49" s="29" t="n">
        <v>6545</v>
      </c>
      <c r="I49" s="29" t="n">
        <v>6900</v>
      </c>
      <c r="J49" s="29" t="n">
        <v>6886</v>
      </c>
      <c r="K49" s="29" t="n">
        <v>3009</v>
      </c>
      <c r="L49" s="29" t="n">
        <v>1029</v>
      </c>
      <c r="M49" s="29" t="n">
        <v>500</v>
      </c>
      <c r="N49" s="29" t="n">
        <v>200</v>
      </c>
      <c r="O49" s="29" t="n">
        <v>0</v>
      </c>
      <c r="P49" s="29" t="n">
        <v>0</v>
      </c>
      <c r="Q49" s="29" t="n">
        <v>0</v>
      </c>
    </row>
    <row r="50" customFormat="false" ht="15" hidden="false" customHeight="true" outlineLevel="0" collapsed="false">
      <c r="A50" s="8" t="s">
        <v>677</v>
      </c>
      <c r="B50" s="29" t="n">
        <v>6289</v>
      </c>
      <c r="C50" s="29" t="n">
        <v>6451</v>
      </c>
      <c r="D50" s="29" t="n">
        <v>6456</v>
      </c>
      <c r="E50" s="29" t="n">
        <v>6593</v>
      </c>
      <c r="F50" s="29" t="n">
        <v>6056</v>
      </c>
      <c r="G50" s="29" t="n">
        <v>11856</v>
      </c>
      <c r="H50" s="29" t="n">
        <v>12201</v>
      </c>
      <c r="I50" s="29" t="n">
        <v>12201</v>
      </c>
      <c r="J50" s="29" t="n">
        <v>12134</v>
      </c>
      <c r="K50" s="29" t="n">
        <v>533</v>
      </c>
      <c r="L50" s="29" t="n">
        <v>0</v>
      </c>
      <c r="M50" s="29" t="n">
        <v>0</v>
      </c>
      <c r="N50" s="29" t="n">
        <v>0</v>
      </c>
      <c r="O50" s="29" t="n">
        <v>0</v>
      </c>
      <c r="P50" s="29" t="n">
        <v>0</v>
      </c>
      <c r="Q50" s="29" t="n">
        <v>0</v>
      </c>
    </row>
    <row r="51" customFormat="false" ht="15" hidden="false" customHeight="true" outlineLevel="0" collapsed="false">
      <c r="A51" s="8" t="s">
        <v>678</v>
      </c>
      <c r="B51" s="29" t="n">
        <v>46790</v>
      </c>
      <c r="C51" s="29" t="n">
        <v>48767</v>
      </c>
      <c r="D51" s="29" t="n">
        <v>50624</v>
      </c>
      <c r="E51" s="29" t="n">
        <v>51528</v>
      </c>
      <c r="F51" s="29" t="n">
        <v>60528</v>
      </c>
      <c r="G51" s="29" t="n">
        <v>63790</v>
      </c>
      <c r="H51" s="29" t="n">
        <v>66165</v>
      </c>
      <c r="I51" s="29" t="n">
        <v>66586</v>
      </c>
      <c r="J51" s="29" t="n">
        <v>64260</v>
      </c>
      <c r="K51" s="29" t="n">
        <v>48696</v>
      </c>
      <c r="L51" s="29" t="n">
        <v>45905</v>
      </c>
      <c r="M51" s="31" t="n">
        <f aca="false">M48+M49+M50</f>
        <v>44500</v>
      </c>
      <c r="N51" s="31" t="n">
        <f aca="false">N48+N49+N50</f>
        <v>43700</v>
      </c>
      <c r="O51" s="31" t="n">
        <f aca="false">O48+O49+O50</f>
        <v>43500</v>
      </c>
      <c r="P51" s="31" t="n">
        <f aca="false">P48+P49+P50</f>
        <v>43500</v>
      </c>
      <c r="Q51" s="31" t="n">
        <f aca="false">Q48+Q49+Q50</f>
        <v>43500</v>
      </c>
    </row>
    <row r="53" customFormat="false" ht="15" hidden="false" customHeight="true" outlineLevel="0" collapsed="false">
      <c r="A53" s="6" t="s">
        <v>679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customFormat="false" ht="15" hidden="false" customHeight="true" outlineLevel="0" collapsed="false">
      <c r="A54" s="8" t="s">
        <v>131</v>
      </c>
      <c r="B54" s="29" t="n">
        <v>119926</v>
      </c>
      <c r="C54" s="29" t="n">
        <v>132482</v>
      </c>
      <c r="D54" s="29" t="n">
        <v>137828</v>
      </c>
      <c r="E54" s="29" t="n">
        <v>144175</v>
      </c>
      <c r="F54" s="29" t="n">
        <v>159115</v>
      </c>
      <c r="G54" s="29" t="n">
        <v>171694</v>
      </c>
      <c r="H54" s="29" t="n">
        <v>174041</v>
      </c>
      <c r="I54" s="29" t="n">
        <v>174816</v>
      </c>
      <c r="J54" s="29" t="n">
        <v>170117</v>
      </c>
      <c r="K54" s="29" t="n">
        <v>169160</v>
      </c>
      <c r="L54" s="29" t="n">
        <v>159935</v>
      </c>
      <c r="M54" s="30" t="n">
        <f aca="false">Assumptions!B80</f>
        <v>156812.487334956</v>
      </c>
      <c r="N54" s="30" t="n">
        <f aca="false">Assumptions!C80</f>
        <v>155930.974669913</v>
      </c>
      <c r="O54" s="30" t="n">
        <f aca="false">Assumptions!D80</f>
        <v>155930.974669913</v>
      </c>
      <c r="P54" s="30" t="n">
        <f aca="false">Assumptions!E80</f>
        <v>155930.974669913</v>
      </c>
      <c r="Q54" s="30" t="n">
        <f aca="false">Assumptions!F80</f>
        <v>155930.974669913</v>
      </c>
    </row>
    <row r="55" customFormat="false" ht="15" hidden="false" customHeight="true" outlineLevel="0" collapsed="false">
      <c r="A55" s="8" t="s">
        <v>335</v>
      </c>
      <c r="B55" s="29" t="n">
        <v>129585</v>
      </c>
      <c r="C55" s="29" t="n">
        <v>136739</v>
      </c>
      <c r="D55" s="29" t="n">
        <v>137303</v>
      </c>
      <c r="E55" s="29" t="n">
        <v>145654</v>
      </c>
      <c r="F55" s="29" t="n">
        <v>170562</v>
      </c>
      <c r="G55" s="29" t="n">
        <v>173252</v>
      </c>
      <c r="H55" s="29" t="n">
        <v>175073</v>
      </c>
      <c r="I55" s="29" t="n">
        <v>174890</v>
      </c>
      <c r="J55" s="29" t="n">
        <v>170000</v>
      </c>
      <c r="K55" s="29" t="n">
        <v>162891</v>
      </c>
      <c r="L55" s="29" t="n">
        <v>157694</v>
      </c>
      <c r="M55" s="30" t="n">
        <f aca="false">Assumptions!B79</f>
        <v>155930.974669913</v>
      </c>
      <c r="N55" s="30" t="n">
        <f aca="false">Assumptions!C79</f>
        <v>155930.974669913</v>
      </c>
      <c r="O55" s="30" t="n">
        <f aca="false">Assumptions!D79</f>
        <v>155930.974669913</v>
      </c>
      <c r="P55" s="30" t="n">
        <f aca="false">Assumptions!E79</f>
        <v>155930.974669913</v>
      </c>
      <c r="Q55" s="30" t="n">
        <f aca="false">Assumptions!F79</f>
        <v>155930.974669913</v>
      </c>
    </row>
    <row r="57" customFormat="false" ht="15" hidden="false" customHeight="true" outlineLevel="0" collapsed="false">
      <c r="A57" s="6" t="s">
        <v>680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customFormat="false" ht="15" hidden="false" customHeight="true" outlineLevel="0" collapsed="false">
      <c r="A58" s="8" t="s">
        <v>421</v>
      </c>
      <c r="B58" s="35" t="n">
        <v>163208</v>
      </c>
      <c r="C58" s="35" t="n">
        <v>195742</v>
      </c>
      <c r="D58" s="35" t="n">
        <v>156808</v>
      </c>
      <c r="E58" s="35" t="n">
        <v>188529</v>
      </c>
      <c r="F58" s="35" t="n">
        <v>221225</v>
      </c>
      <c r="G58" s="35" t="n">
        <v>231128</v>
      </c>
      <c r="H58" s="35" t="n">
        <v>297662</v>
      </c>
      <c r="I58" s="35" t="n">
        <v>307942</v>
      </c>
      <c r="J58" s="35" t="n">
        <v>276477</v>
      </c>
      <c r="K58" s="35" t="n">
        <v>229722</v>
      </c>
      <c r="L58" s="35" t="n">
        <v>226798</v>
      </c>
      <c r="M58" s="27" t="n">
        <f aca="false">Assumptions!B68</f>
        <v>203400</v>
      </c>
      <c r="N58" s="27" t="n">
        <f aca="false">Assumptions!C68</f>
        <v>207225</v>
      </c>
      <c r="O58" s="27" t="n">
        <f aca="false">Assumptions!D68</f>
        <v>211725</v>
      </c>
      <c r="P58" s="27" t="n">
        <f aca="false">Assumptions!E68</f>
        <v>216225</v>
      </c>
      <c r="Q58" s="27" t="n">
        <f aca="false">Assumptions!F68</f>
        <v>220725</v>
      </c>
    </row>
    <row r="59" customFormat="false" ht="15" hidden="false" customHeight="true" outlineLevel="0" collapsed="false">
      <c r="A59" s="8" t="s">
        <v>681</v>
      </c>
      <c r="C59" s="35" t="n">
        <v>18249</v>
      </c>
      <c r="D59" s="35" t="n">
        <v>38724</v>
      </c>
      <c r="E59" s="35" t="n">
        <v>51252</v>
      </c>
      <c r="F59" s="35" t="n">
        <v>65532</v>
      </c>
      <c r="G59" s="35" t="n">
        <v>69917</v>
      </c>
      <c r="H59" s="35" t="n">
        <v>78006</v>
      </c>
      <c r="I59" s="35" t="n">
        <v>74778</v>
      </c>
      <c r="J59" s="35" t="n">
        <v>71572</v>
      </c>
      <c r="K59" s="35" t="n">
        <v>68881</v>
      </c>
      <c r="L59" s="35" t="n">
        <v>62722</v>
      </c>
      <c r="M59" s="27" t="n">
        <f aca="false">Assumptions!B69</f>
        <v>63200</v>
      </c>
      <c r="N59" s="27" t="n">
        <f aca="false">Assumptions!C69</f>
        <v>62525</v>
      </c>
      <c r="O59" s="27" t="n">
        <f aca="false">Assumptions!D69</f>
        <v>62525</v>
      </c>
      <c r="P59" s="27" t="n">
        <f aca="false">Assumptions!E69</f>
        <v>62525</v>
      </c>
      <c r="Q59" s="27" t="n">
        <f aca="false">Assumptions!F69</f>
        <v>62525</v>
      </c>
    </row>
    <row r="60" customFormat="false" ht="15" hidden="false" customHeight="true" outlineLevel="0" collapsed="false">
      <c r="A60" s="8" t="s">
        <v>423</v>
      </c>
      <c r="B60" s="35" t="n">
        <v>174027</v>
      </c>
      <c r="C60" s="35" t="n">
        <v>197493</v>
      </c>
      <c r="D60" s="35" t="n">
        <v>163728</v>
      </c>
      <c r="E60" s="35" t="n">
        <v>203784</v>
      </c>
      <c r="F60" s="35" t="n">
        <v>242357</v>
      </c>
      <c r="G60" s="35" t="n">
        <v>244857</v>
      </c>
      <c r="H60" s="35" t="n">
        <v>299419</v>
      </c>
      <c r="I60" s="35" t="n">
        <v>336467</v>
      </c>
      <c r="J60" s="35" t="n">
        <v>307831</v>
      </c>
      <c r="K60" s="35" t="n">
        <v>249808</v>
      </c>
      <c r="L60" s="35" t="n">
        <v>241587</v>
      </c>
      <c r="M60" s="27" t="n">
        <f aca="false">Assumptions!B68</f>
        <v>203400</v>
      </c>
      <c r="N60" s="27" t="n">
        <f aca="false">Assumptions!C68</f>
        <v>207225</v>
      </c>
      <c r="O60" s="27" t="n">
        <f aca="false">Assumptions!D68</f>
        <v>211725</v>
      </c>
      <c r="P60" s="27" t="n">
        <f aca="false">Assumptions!E68</f>
        <v>216225</v>
      </c>
      <c r="Q60" s="27" t="n">
        <f aca="false">Assumptions!F68</f>
        <v>220725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2060"/>
    <pageSetUpPr fitToPage="false"/>
  </sheetPr>
  <dimension ref="A1:R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0"/>
    <col collapsed="false" customWidth="true" hidden="false" outlineLevel="0" max="17" min="2" style="0" width="13"/>
  </cols>
  <sheetData>
    <row r="1" customFormat="false" ht="15" hidden="false" customHeight="false" outlineLevel="0" collapsed="false">
      <c r="A1" s="72" t="s">
        <v>0</v>
      </c>
    </row>
    <row r="2" customFormat="false" ht="15" hidden="false" customHeight="false" outlineLevel="0" collapsed="false">
      <c r="A2" s="73" t="s">
        <v>682</v>
      </c>
    </row>
    <row r="3" customFormat="false" ht="15" hidden="false" customHeight="false" outlineLevel="0" collapsed="false">
      <c r="A3" s="74" t="s">
        <v>683</v>
      </c>
    </row>
    <row r="5" customFormat="false" ht="15" hidden="false" customHeight="false" outlineLevel="0" collapsed="false">
      <c r="B5" s="5" t="s">
        <v>233</v>
      </c>
      <c r="C5" s="5" t="s">
        <v>234</v>
      </c>
      <c r="D5" s="5" t="s">
        <v>235</v>
      </c>
      <c r="E5" s="5" t="s">
        <v>236</v>
      </c>
      <c r="F5" s="5" t="s">
        <v>237</v>
      </c>
      <c r="G5" s="5" t="s">
        <v>238</v>
      </c>
      <c r="H5" s="5" t="s">
        <v>239</v>
      </c>
      <c r="I5" s="5" t="s">
        <v>240</v>
      </c>
      <c r="J5" s="5" t="s">
        <v>241</v>
      </c>
      <c r="K5" s="5" t="s">
        <v>242</v>
      </c>
      <c r="L5" s="5" t="s">
        <v>243</v>
      </c>
      <c r="M5" s="5" t="s">
        <v>3</v>
      </c>
      <c r="N5" s="5" t="s">
        <v>4</v>
      </c>
      <c r="O5" s="5" t="s">
        <v>5</v>
      </c>
      <c r="P5" s="5" t="s">
        <v>6</v>
      </c>
      <c r="Q5" s="5" t="s">
        <v>7</v>
      </c>
    </row>
    <row r="7" customFormat="false" ht="15" hidden="false" customHeight="false" outlineLevel="0" collapsed="false">
      <c r="A7" s="75" t="s">
        <v>684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customFormat="false" ht="15" hidden="false" customHeight="false" outlineLevel="0" collapsed="false">
      <c r="A8" s="77" t="s">
        <v>685</v>
      </c>
      <c r="B8" s="78" t="n">
        <v>6863140</v>
      </c>
      <c r="C8" s="78" t="n">
        <v>7642017</v>
      </c>
      <c r="D8" s="78" t="n">
        <v>8886556</v>
      </c>
      <c r="E8" s="78" t="n">
        <v>10473544</v>
      </c>
      <c r="F8" s="78" t="n">
        <v>13096426</v>
      </c>
      <c r="G8" s="78" t="n">
        <v>15000591</v>
      </c>
      <c r="H8" s="78" t="n">
        <v>17101919</v>
      </c>
      <c r="I8" s="78" t="n">
        <v>17153709</v>
      </c>
      <c r="J8" s="78" t="n">
        <v>16532096</v>
      </c>
      <c r="K8" s="78" t="n">
        <v>14868362</v>
      </c>
      <c r="L8" s="78" t="n">
        <v>14732478</v>
      </c>
      <c r="M8" s="79" t="n">
        <f aca="false">BS!M8</f>
        <v>15161987.9557647</v>
      </c>
      <c r="N8" s="79" t="n">
        <f aca="false">BS!N8</f>
        <v>14930114.5740291</v>
      </c>
      <c r="O8" s="79" t="n">
        <f aca="false">BS!O8</f>
        <v>15096826.5432595</v>
      </c>
      <c r="P8" s="79" t="n">
        <f aca="false">BS!P8</f>
        <v>15621481.6493602</v>
      </c>
      <c r="Q8" s="79" t="n">
        <f aca="false">BS!Q8</f>
        <v>16163455.2140392</v>
      </c>
      <c r="R8" s="80"/>
    </row>
    <row r="10" customFormat="false" ht="15" hidden="false" customHeight="false" outlineLevel="0" collapsed="false">
      <c r="A10" s="81" t="s">
        <v>686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customFormat="false" ht="15" hidden="false" customHeight="false" outlineLevel="0" collapsed="false">
      <c r="A11" s="83" t="s">
        <v>687</v>
      </c>
      <c r="B11" s="84" t="n">
        <v>6500000</v>
      </c>
      <c r="C11" s="84" t="n">
        <v>7250000</v>
      </c>
      <c r="D11" s="84" t="n">
        <v>8100000</v>
      </c>
      <c r="E11" s="84" t="n">
        <v>9400000</v>
      </c>
      <c r="F11" s="84" t="n">
        <v>10100000</v>
      </c>
      <c r="G11" s="84" t="n">
        <v>11600000</v>
      </c>
      <c r="H11" s="84" t="n">
        <v>14425769</v>
      </c>
      <c r="I11" s="84" t="n">
        <v>13650000</v>
      </c>
      <c r="J11" s="84" t="n">
        <v>13500000</v>
      </c>
      <c r="K11" s="84" t="n">
        <v>13700000</v>
      </c>
      <c r="L11" s="84" t="n">
        <v>14500000</v>
      </c>
      <c r="M11" s="85" t="n">
        <f aca="false">Ops!M16/Assumptions!B83</f>
        <v>14838458.544</v>
      </c>
      <c r="N11" s="85" t="n">
        <f aca="false">Ops!N16/Assumptions!C83</f>
        <v>15330114.5740291</v>
      </c>
      <c r="O11" s="85" t="n">
        <f aca="false">Ops!O16/Assumptions!D83</f>
        <v>15838003.0138477</v>
      </c>
      <c r="P11" s="85" t="n">
        <f aca="false">Ops!P16/Assumptions!E83</f>
        <v>16362658.1199484</v>
      </c>
      <c r="Q11" s="85" t="n">
        <f aca="false">Ops!Q16/Assumptions!F83</f>
        <v>16904631.6846274</v>
      </c>
    </row>
    <row r="12" customFormat="false" ht="15" hidden="false" customHeight="false" outlineLevel="0" collapsed="false">
      <c r="A12" s="83" t="s">
        <v>688</v>
      </c>
      <c r="B12" s="84" t="n">
        <v>125000</v>
      </c>
      <c r="C12" s="84" t="n">
        <v>134000</v>
      </c>
      <c r="D12" s="84" t="n">
        <v>140000</v>
      </c>
      <c r="E12" s="84" t="n">
        <v>155000</v>
      </c>
      <c r="F12" s="84" t="n">
        <v>190000</v>
      </c>
      <c r="G12" s="84" t="n">
        <v>300000</v>
      </c>
      <c r="H12" s="84" t="n">
        <v>350000</v>
      </c>
      <c r="I12" s="84" t="n">
        <v>400000</v>
      </c>
      <c r="J12" s="84" t="n">
        <v>380000</v>
      </c>
      <c r="K12" s="84" t="n">
        <v>0</v>
      </c>
      <c r="L12" s="84" t="n">
        <v>0</v>
      </c>
      <c r="M12" s="84" t="n">
        <v>0</v>
      </c>
      <c r="N12" s="84" t="n">
        <v>0</v>
      </c>
      <c r="O12" s="84" t="n">
        <v>0</v>
      </c>
      <c r="P12" s="84" t="n">
        <v>0</v>
      </c>
      <c r="Q12" s="84" t="n">
        <v>0</v>
      </c>
    </row>
    <row r="13" customFormat="false" ht="15" hidden="false" customHeight="false" outlineLevel="0" collapsed="false">
      <c r="A13" s="77" t="s">
        <v>689</v>
      </c>
      <c r="B13" s="86" t="n">
        <f aca="false">B11+B12</f>
        <v>6625000</v>
      </c>
      <c r="C13" s="86" t="n">
        <f aca="false">C11+C12</f>
        <v>7384000</v>
      </c>
      <c r="D13" s="86" t="n">
        <f aca="false">D11+D12</f>
        <v>8240000</v>
      </c>
      <c r="E13" s="86" t="n">
        <f aca="false">E11+E12</f>
        <v>9555000</v>
      </c>
      <c r="F13" s="86" t="n">
        <f aca="false">F11+F12</f>
        <v>10290000</v>
      </c>
      <c r="G13" s="86" t="n">
        <f aca="false">G11+G12</f>
        <v>11900000</v>
      </c>
      <c r="H13" s="86" t="n">
        <f aca="false">H11+H12</f>
        <v>14775769</v>
      </c>
      <c r="I13" s="86" t="n">
        <f aca="false">I11+I12</f>
        <v>14050000</v>
      </c>
      <c r="J13" s="86" t="n">
        <f aca="false">J11+J12</f>
        <v>13880000</v>
      </c>
      <c r="K13" s="86" t="n">
        <f aca="false">K11+K12</f>
        <v>13700000</v>
      </c>
      <c r="L13" s="86" t="n">
        <f aca="false">L11+L12</f>
        <v>14500000</v>
      </c>
      <c r="M13" s="86" t="n">
        <f aca="false">M11+M12</f>
        <v>14838458.544</v>
      </c>
      <c r="N13" s="86" t="n">
        <f aca="false">N11+N12</f>
        <v>15330114.5740291</v>
      </c>
      <c r="O13" s="86" t="n">
        <f aca="false">O11+O12</f>
        <v>15838003.0138477</v>
      </c>
      <c r="P13" s="86" t="n">
        <f aca="false">P11+P12</f>
        <v>16362658.1199484</v>
      </c>
      <c r="Q13" s="86" t="n">
        <f aca="false">Q11+Q12</f>
        <v>16904631.6846274</v>
      </c>
      <c r="R13" s="80"/>
    </row>
    <row r="15" customFormat="false" ht="15" hidden="false" customHeight="false" outlineLevel="0" collapsed="false">
      <c r="A15" s="87" t="s">
        <v>690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</row>
    <row r="16" customFormat="false" ht="15" hidden="false" customHeight="false" outlineLevel="0" collapsed="false">
      <c r="A16" s="83" t="s">
        <v>691</v>
      </c>
      <c r="B16" s="84" t="n">
        <v>0</v>
      </c>
      <c r="C16" s="84" t="n">
        <v>0</v>
      </c>
      <c r="D16" s="84" t="n">
        <v>350000</v>
      </c>
      <c r="E16" s="84" t="n">
        <v>500000</v>
      </c>
      <c r="F16" s="84" t="n">
        <v>1800000</v>
      </c>
      <c r="G16" s="84" t="n">
        <v>2000000</v>
      </c>
      <c r="H16" s="84" t="n">
        <v>2200000</v>
      </c>
      <c r="I16" s="84" t="n">
        <v>2150000</v>
      </c>
      <c r="J16" s="84" t="n">
        <v>1900000</v>
      </c>
      <c r="K16" s="84" t="n">
        <v>850000</v>
      </c>
      <c r="L16" s="84" t="n">
        <v>200000</v>
      </c>
      <c r="M16" s="84" t="n">
        <v>0</v>
      </c>
      <c r="N16" s="84" t="n">
        <v>0</v>
      </c>
      <c r="O16" s="84" t="n">
        <v>0</v>
      </c>
      <c r="P16" s="84" t="n">
        <v>0</v>
      </c>
      <c r="Q16" s="84" t="n">
        <v>0</v>
      </c>
    </row>
    <row r="17" customFormat="false" ht="15" hidden="false" customHeight="false" outlineLevel="0" collapsed="false">
      <c r="A17" s="83" t="s">
        <v>692</v>
      </c>
      <c r="B17" s="84" t="n">
        <v>0</v>
      </c>
      <c r="C17" s="84" t="n">
        <v>0</v>
      </c>
      <c r="D17" s="84" t="n">
        <v>0</v>
      </c>
      <c r="E17" s="84" t="n">
        <v>0</v>
      </c>
      <c r="F17" s="84" t="n">
        <v>350000</v>
      </c>
      <c r="G17" s="84" t="n">
        <v>350000</v>
      </c>
      <c r="H17" s="84" t="n">
        <v>476150</v>
      </c>
      <c r="I17" s="84" t="n">
        <v>450000</v>
      </c>
      <c r="J17" s="84" t="n">
        <v>330000</v>
      </c>
      <c r="K17" s="84" t="n">
        <v>250000</v>
      </c>
      <c r="L17" s="84" t="n">
        <v>32000</v>
      </c>
      <c r="M17" s="84" t="n">
        <v>0</v>
      </c>
      <c r="N17" s="84" t="n">
        <v>0</v>
      </c>
      <c r="O17" s="84" t="n">
        <v>0</v>
      </c>
      <c r="P17" s="84" t="n">
        <v>0</v>
      </c>
      <c r="Q17" s="84" t="n">
        <v>0</v>
      </c>
    </row>
    <row r="18" customFormat="false" ht="15" hidden="false" customHeight="false" outlineLevel="0" collapsed="false">
      <c r="A18" s="77" t="s">
        <v>693</v>
      </c>
      <c r="B18" s="86" t="n">
        <f aca="false">B16+B17</f>
        <v>0</v>
      </c>
      <c r="C18" s="86" t="n">
        <f aca="false">C16+C17</f>
        <v>0</v>
      </c>
      <c r="D18" s="86" t="n">
        <f aca="false">D16+D17</f>
        <v>350000</v>
      </c>
      <c r="E18" s="86" t="n">
        <f aca="false">E16+E17</f>
        <v>500000</v>
      </c>
      <c r="F18" s="86" t="n">
        <f aca="false">F16+F17</f>
        <v>2150000</v>
      </c>
      <c r="G18" s="86" t="n">
        <f aca="false">G16+G17</f>
        <v>2350000</v>
      </c>
      <c r="H18" s="86" t="n">
        <f aca="false">H16+H17</f>
        <v>2676150</v>
      </c>
      <c r="I18" s="86" t="n">
        <f aca="false">I16+I17</f>
        <v>2600000</v>
      </c>
      <c r="J18" s="86" t="n">
        <f aca="false">J16+J17</f>
        <v>2230000</v>
      </c>
      <c r="K18" s="86" t="n">
        <f aca="false">K16+K17</f>
        <v>1100000</v>
      </c>
      <c r="L18" s="86" t="n">
        <f aca="false">L16+L17</f>
        <v>232000</v>
      </c>
      <c r="M18" s="86" t="n">
        <f aca="false">M16+M17</f>
        <v>0</v>
      </c>
      <c r="N18" s="86" t="n">
        <f aca="false">N16+N17</f>
        <v>0</v>
      </c>
      <c r="O18" s="86" t="n">
        <f aca="false">O16+O17</f>
        <v>0</v>
      </c>
      <c r="P18" s="86" t="n">
        <f aca="false">P16+P17</f>
        <v>0</v>
      </c>
      <c r="Q18" s="86" t="n">
        <f aca="false">Q16+Q17</f>
        <v>0</v>
      </c>
      <c r="R18" s="80"/>
    </row>
    <row r="19" customFormat="false" ht="15" hidden="false" customHeight="false" outlineLevel="0" collapsed="false">
      <c r="A19" s="83" t="s">
        <v>694</v>
      </c>
      <c r="B19" s="9" t="n">
        <f aca="false">B18/B8</f>
        <v>0</v>
      </c>
      <c r="C19" s="9" t="n">
        <f aca="false">C18/C8</f>
        <v>0</v>
      </c>
      <c r="D19" s="9" t="n">
        <f aca="false">D18/D8</f>
        <v>0.0393853366816121</v>
      </c>
      <c r="E19" s="9" t="n">
        <f aca="false">E18/E8</f>
        <v>0.0477393325506629</v>
      </c>
      <c r="F19" s="9" t="n">
        <f aca="false">F18/F8</f>
        <v>0.164166926152219</v>
      </c>
      <c r="G19" s="9" t="n">
        <f aca="false">G18/G8</f>
        <v>0.156660494243193</v>
      </c>
      <c r="H19" s="9" t="n">
        <f aca="false">H18/H8</f>
        <v>0.156482439192935</v>
      </c>
      <c r="I19" s="9" t="n">
        <f aca="false">I18/I8</f>
        <v>0.151570718612517</v>
      </c>
      <c r="J19" s="9" t="n">
        <f aca="false">J18/J8</f>
        <v>0.134889127186293</v>
      </c>
      <c r="K19" s="9" t="n">
        <f aca="false">K18/K8</f>
        <v>0.0739825947202523</v>
      </c>
      <c r="L19" s="9" t="n">
        <f aca="false">L18/L8</f>
        <v>0.0157475205461023</v>
      </c>
      <c r="M19" s="9" t="n">
        <f aca="false">M18/M8</f>
        <v>0</v>
      </c>
      <c r="N19" s="9" t="n">
        <f aca="false">N18/N8</f>
        <v>0</v>
      </c>
      <c r="O19" s="9" t="n">
        <f aca="false">O18/O8</f>
        <v>0</v>
      </c>
      <c r="P19" s="9" t="n">
        <f aca="false">P18/P8</f>
        <v>0</v>
      </c>
      <c r="Q19" s="9" t="n">
        <f aca="false">Q18/Q8</f>
        <v>0</v>
      </c>
    </row>
    <row r="21" customFormat="false" ht="15" hidden="false" customHeight="false" outlineLevel="0" collapsed="false">
      <c r="A21" s="75" t="s">
        <v>695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</row>
    <row r="22" customFormat="false" ht="15" hidden="false" customHeight="false" outlineLevel="0" collapsed="false">
      <c r="A22" s="77" t="s">
        <v>696</v>
      </c>
      <c r="B22" s="78" t="n">
        <v>3097773</v>
      </c>
      <c r="C22" s="78" t="n">
        <v>3492923</v>
      </c>
      <c r="D22" s="78" t="n">
        <v>3581501</v>
      </c>
      <c r="E22" s="78" t="n">
        <v>3728333</v>
      </c>
      <c r="F22" s="78" t="n">
        <v>4308572</v>
      </c>
      <c r="G22" s="78" t="n">
        <v>5401202</v>
      </c>
      <c r="H22" s="78" t="n">
        <v>6100065</v>
      </c>
      <c r="I22" s="78" t="n">
        <v>6577097</v>
      </c>
      <c r="J22" s="78" t="n">
        <v>6653988</v>
      </c>
      <c r="K22" s="78" t="n">
        <v>5987869</v>
      </c>
      <c r="L22" s="78" t="n">
        <v>5633601</v>
      </c>
      <c r="M22" s="79" t="n">
        <f aca="false">Assumptions!B54</f>
        <v>5483601</v>
      </c>
      <c r="N22" s="79" t="n">
        <f aca="false">Assumptions!C54</f>
        <v>5383601</v>
      </c>
      <c r="O22" s="79" t="n">
        <f aca="false">Assumptions!D54</f>
        <v>5283601</v>
      </c>
      <c r="P22" s="79" t="n">
        <f aca="false">Assumptions!E54</f>
        <v>5233601</v>
      </c>
      <c r="Q22" s="79" t="n">
        <f aca="false">Assumptions!F54</f>
        <v>5183601</v>
      </c>
      <c r="R22" s="80"/>
    </row>
    <row r="23" customFormat="false" ht="15" hidden="false" customHeight="false" outlineLevel="0" collapsed="false">
      <c r="A23" s="83" t="s">
        <v>697</v>
      </c>
      <c r="B23" s="84" t="n">
        <v>3097773</v>
      </c>
      <c r="C23" s="84" t="n">
        <v>3492923</v>
      </c>
      <c r="D23" s="84" t="n">
        <v>3500000</v>
      </c>
      <c r="E23" s="84" t="n">
        <v>3600000</v>
      </c>
      <c r="F23" s="84" t="n">
        <v>3650000</v>
      </c>
      <c r="G23" s="84" t="n">
        <v>4200000</v>
      </c>
      <c r="H23" s="84" t="n">
        <v>4928030</v>
      </c>
      <c r="I23" s="84" t="n">
        <v>5310000</v>
      </c>
      <c r="J23" s="84" t="n">
        <v>5700000</v>
      </c>
      <c r="K23" s="84" t="n">
        <v>5474000</v>
      </c>
      <c r="L23" s="84" t="n">
        <v>5500000</v>
      </c>
      <c r="M23" s="85" t="n">
        <f aca="false">Assumptions!B54</f>
        <v>5483601</v>
      </c>
      <c r="N23" s="85" t="n">
        <f aca="false">Assumptions!C54</f>
        <v>5383601</v>
      </c>
      <c r="O23" s="85" t="n">
        <f aca="false">Assumptions!D54</f>
        <v>5283601</v>
      </c>
      <c r="P23" s="85" t="n">
        <f aca="false">Assumptions!E54</f>
        <v>5233601</v>
      </c>
      <c r="Q23" s="85" t="n">
        <f aca="false">Assumptions!F54</f>
        <v>5183601</v>
      </c>
    </row>
    <row r="24" customFormat="false" ht="15" hidden="false" customHeight="false" outlineLevel="0" collapsed="false">
      <c r="A24" s="83" t="s">
        <v>698</v>
      </c>
      <c r="B24" s="84" t="n">
        <v>0</v>
      </c>
      <c r="C24" s="84" t="n">
        <v>0</v>
      </c>
      <c r="D24" s="84" t="n">
        <v>81501</v>
      </c>
      <c r="E24" s="84" t="n">
        <v>128333</v>
      </c>
      <c r="F24" s="84" t="n">
        <v>658572</v>
      </c>
      <c r="G24" s="84" t="n">
        <v>1201202</v>
      </c>
      <c r="H24" s="84" t="n">
        <v>1172035</v>
      </c>
      <c r="I24" s="84" t="n">
        <v>1266829</v>
      </c>
      <c r="J24" s="84" t="n">
        <v>953988</v>
      </c>
      <c r="K24" s="84" t="n">
        <v>513571</v>
      </c>
      <c r="L24" s="84" t="n">
        <v>133601</v>
      </c>
      <c r="M24" s="84" t="n">
        <v>50000</v>
      </c>
      <c r="N24" s="84" t="n">
        <v>0</v>
      </c>
      <c r="O24" s="84" t="n">
        <v>0</v>
      </c>
      <c r="P24" s="84" t="n">
        <v>0</v>
      </c>
      <c r="Q24" s="84" t="n">
        <v>0</v>
      </c>
    </row>
    <row r="25" customFormat="false" ht="15" hidden="false" customHeight="false" outlineLevel="0" collapsed="false">
      <c r="A25" s="83" t="s">
        <v>699</v>
      </c>
      <c r="B25" s="9" t="n">
        <f aca="false">IF(B22=0,0,B24/B22)</f>
        <v>0</v>
      </c>
      <c r="C25" s="9" t="n">
        <f aca="false">IF(C22=0,0,C24/C22)</f>
        <v>0</v>
      </c>
      <c r="D25" s="9" t="n">
        <f aca="false">IF(D22=0,0,D24/D22)</f>
        <v>0.0227561014222808</v>
      </c>
      <c r="E25" s="9" t="n">
        <f aca="false">IF(E22=0,0,E24/E22)</f>
        <v>0.0344210133590535</v>
      </c>
      <c r="F25" s="9" t="n">
        <f aca="false">IF(F22=0,0,F24/F22)</f>
        <v>0.152851571239845</v>
      </c>
      <c r="G25" s="9" t="n">
        <f aca="false">IF(G22=0,0,G24/G22)</f>
        <v>0.2223953112659</v>
      </c>
      <c r="H25" s="9" t="n">
        <f aca="false">IF(H22=0,0,H24/H22)</f>
        <v>0.192134837907465</v>
      </c>
      <c r="I25" s="9" t="n">
        <f aca="false">IF(I22=0,0,I24/I22)</f>
        <v>0.192612181331673</v>
      </c>
      <c r="J25" s="9" t="n">
        <f aca="false">IF(J22=0,0,J24/J22)</f>
        <v>0.143370862706696</v>
      </c>
      <c r="K25" s="9" t="n">
        <f aca="false">IF(K22=0,0,K24/K22)</f>
        <v>0.0857685764334524</v>
      </c>
      <c r="L25" s="9" t="n">
        <f aca="false">IF(L22=0,0,L24/L22)</f>
        <v>0.0237150270315558</v>
      </c>
      <c r="M25" s="9" t="n">
        <f aca="false">IF(M22=0,0,M24/M22)</f>
        <v>0.00911809593732294</v>
      </c>
      <c r="N25" s="9" t="n">
        <f aca="false">IF(N22=0,0,N24/N22)</f>
        <v>0</v>
      </c>
      <c r="O25" s="9" t="n">
        <f aca="false">IF(O22=0,0,O24/O22)</f>
        <v>0</v>
      </c>
      <c r="P25" s="9" t="n">
        <f aca="false">IF(P22=0,0,P24/P22)</f>
        <v>0</v>
      </c>
      <c r="Q25" s="9" t="n">
        <f aca="false">IF(Q22=0,0,Q24/Q22)</f>
        <v>0</v>
      </c>
    </row>
    <row r="26" customFormat="false" ht="15" hidden="false" customHeight="false" outlineLevel="0" collapsed="false">
      <c r="A26" s="83" t="s">
        <v>700</v>
      </c>
      <c r="B26" s="43" t="n">
        <v>0.989</v>
      </c>
      <c r="C26" s="43" t="n">
        <v>0.979</v>
      </c>
      <c r="D26" s="43" t="n">
        <v>0.97</v>
      </c>
      <c r="E26" s="43" t="n">
        <v>0.975</v>
      </c>
      <c r="F26" s="43" t="n">
        <v>0.983</v>
      </c>
      <c r="G26" s="43" t="n">
        <v>0.987</v>
      </c>
      <c r="H26" s="43" t="n">
        <v>0.985</v>
      </c>
      <c r="I26" s="43" t="n">
        <v>0.983</v>
      </c>
      <c r="J26" s="43" t="n">
        <v>0.985</v>
      </c>
      <c r="K26" s="43" t="n">
        <v>0.977</v>
      </c>
      <c r="L26" s="43" t="n">
        <v>0.983</v>
      </c>
      <c r="M26" s="43" t="n">
        <v>0.985</v>
      </c>
      <c r="N26" s="43" t="n">
        <v>0.985</v>
      </c>
      <c r="O26" s="43" t="n">
        <v>0.985</v>
      </c>
      <c r="P26" s="43" t="n">
        <v>0.985</v>
      </c>
      <c r="Q26" s="43" t="n">
        <v>0.985</v>
      </c>
    </row>
    <row r="28" customFormat="false" ht="15" hidden="false" customHeight="false" outlineLevel="0" collapsed="false">
      <c r="A28" s="75" t="s">
        <v>701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</row>
    <row r="29" customFormat="false" ht="15" hidden="false" customHeight="false" outlineLevel="0" collapsed="false">
      <c r="A29" s="74" t="s">
        <v>702</v>
      </c>
    </row>
    <row r="30" customFormat="false" ht="15" hidden="false" customHeight="false" outlineLevel="0" collapsed="false">
      <c r="A30" s="83" t="s">
        <v>703</v>
      </c>
      <c r="B30" s="84" t="n">
        <v>180000</v>
      </c>
      <c r="C30" s="84" t="n">
        <v>203874</v>
      </c>
      <c r="D30" s="84" t="n">
        <v>220000</v>
      </c>
      <c r="E30" s="84" t="n">
        <v>242141</v>
      </c>
      <c r="F30" s="84" t="n">
        <v>280000</v>
      </c>
      <c r="G30" s="84" t="n">
        <v>338317</v>
      </c>
      <c r="H30" s="84" t="n">
        <v>150000</v>
      </c>
      <c r="I30" s="84" t="n">
        <v>50000</v>
      </c>
      <c r="J30" s="84" t="n">
        <v>0</v>
      </c>
      <c r="K30" s="84" t="n">
        <v>0</v>
      </c>
      <c r="L30" s="84" t="n">
        <v>0</v>
      </c>
      <c r="M30" s="84" t="n">
        <v>0</v>
      </c>
      <c r="N30" s="84" t="n">
        <v>0</v>
      </c>
      <c r="O30" s="84" t="n">
        <v>0</v>
      </c>
      <c r="P30" s="84" t="n">
        <v>0</v>
      </c>
      <c r="Q30" s="84" t="n">
        <v>0</v>
      </c>
    </row>
    <row r="31" customFormat="false" ht="15" hidden="false" customHeight="false" outlineLevel="0" collapsed="false">
      <c r="A31" s="83" t="s">
        <v>704</v>
      </c>
      <c r="B31" s="84" t="n">
        <v>60000</v>
      </c>
      <c r="C31" s="84" t="n">
        <v>75493</v>
      </c>
      <c r="D31" s="84" t="n">
        <v>80000</v>
      </c>
      <c r="E31" s="84" t="n">
        <v>85000</v>
      </c>
      <c r="F31" s="84" t="n">
        <v>90000</v>
      </c>
      <c r="G31" s="84" t="n">
        <v>86394</v>
      </c>
      <c r="H31" s="84" t="n">
        <v>50000</v>
      </c>
      <c r="I31" s="84" t="n">
        <v>20000</v>
      </c>
      <c r="J31" s="84" t="n">
        <v>0</v>
      </c>
      <c r="K31" s="84" t="n">
        <v>0</v>
      </c>
      <c r="L31" s="84" t="n">
        <v>0</v>
      </c>
      <c r="M31" s="84" t="n">
        <v>0</v>
      </c>
      <c r="N31" s="84" t="n">
        <v>0</v>
      </c>
      <c r="O31" s="84" t="n">
        <v>0</v>
      </c>
      <c r="P31" s="84" t="n">
        <v>0</v>
      </c>
      <c r="Q31" s="84" t="n">
        <v>0</v>
      </c>
    </row>
    <row r="32" customFormat="false" ht="15" hidden="false" customHeight="false" outlineLevel="0" collapsed="false">
      <c r="A32" s="83" t="s">
        <v>705</v>
      </c>
      <c r="B32" s="84" t="n">
        <v>14000</v>
      </c>
      <c r="C32" s="84" t="n">
        <v>15938</v>
      </c>
      <c r="D32" s="84" t="n">
        <v>16500</v>
      </c>
      <c r="E32" s="84" t="n">
        <v>16882</v>
      </c>
      <c r="F32" s="84" t="n">
        <v>19000</v>
      </c>
      <c r="G32" s="84" t="n">
        <v>21397</v>
      </c>
      <c r="H32" s="84" t="n">
        <v>12000</v>
      </c>
      <c r="I32" s="84" t="n">
        <v>5000</v>
      </c>
      <c r="J32" s="84" t="n">
        <v>0</v>
      </c>
      <c r="K32" s="84" t="n">
        <v>0</v>
      </c>
      <c r="L32" s="84" t="n">
        <v>0</v>
      </c>
      <c r="M32" s="84" t="n">
        <v>0</v>
      </c>
      <c r="N32" s="84" t="n">
        <v>0</v>
      </c>
      <c r="O32" s="84" t="n">
        <v>0</v>
      </c>
      <c r="P32" s="84" t="n">
        <v>0</v>
      </c>
      <c r="Q32" s="84" t="n">
        <v>0</v>
      </c>
    </row>
    <row r="33" customFormat="false" ht="15" hidden="false" customHeight="false" outlineLevel="0" collapsed="false">
      <c r="A33" s="83" t="s">
        <v>706</v>
      </c>
      <c r="B33" s="84" t="n">
        <v>10000</v>
      </c>
      <c r="C33" s="84" t="n">
        <v>11649</v>
      </c>
      <c r="D33" s="84" t="n">
        <v>13000</v>
      </c>
      <c r="E33" s="84" t="n">
        <v>25593</v>
      </c>
      <c r="F33" s="84" t="n">
        <v>15000</v>
      </c>
      <c r="G33" s="84" t="n">
        <v>13009</v>
      </c>
      <c r="H33" s="84" t="n">
        <v>8000</v>
      </c>
      <c r="I33" s="84" t="n">
        <v>3000</v>
      </c>
      <c r="J33" s="84" t="n">
        <v>0</v>
      </c>
      <c r="K33" s="84" t="n">
        <v>0</v>
      </c>
      <c r="L33" s="84" t="n">
        <v>0</v>
      </c>
      <c r="M33" s="84" t="n">
        <v>0</v>
      </c>
      <c r="N33" s="84" t="n">
        <v>0</v>
      </c>
      <c r="O33" s="84" t="n">
        <v>0</v>
      </c>
      <c r="P33" s="84" t="n">
        <v>0</v>
      </c>
      <c r="Q33" s="84" t="n">
        <v>0</v>
      </c>
    </row>
    <row r="34" customFormat="false" ht="15" hidden="false" customHeight="false" outlineLevel="0" collapsed="false">
      <c r="A34" s="83" t="s">
        <v>707</v>
      </c>
      <c r="B34" s="89" t="n">
        <f aca="false">B30-B31</f>
        <v>120000</v>
      </c>
      <c r="C34" s="89" t="n">
        <f aca="false">C30-C31</f>
        <v>128381</v>
      </c>
      <c r="D34" s="89" t="n">
        <f aca="false">D30-D31</f>
        <v>140000</v>
      </c>
      <c r="E34" s="89" t="n">
        <f aca="false">E30-E31</f>
        <v>157141</v>
      </c>
      <c r="F34" s="89" t="n">
        <f aca="false">F30-F31</f>
        <v>190000</v>
      </c>
      <c r="G34" s="89" t="n">
        <f aca="false">G30-G31</f>
        <v>251923</v>
      </c>
      <c r="H34" s="89" t="n">
        <f aca="false">H30-H31</f>
        <v>100000</v>
      </c>
      <c r="I34" s="89" t="n">
        <f aca="false">I30-I31</f>
        <v>30000</v>
      </c>
      <c r="J34" s="89" t="n">
        <f aca="false">J30-J31</f>
        <v>0</v>
      </c>
      <c r="K34" s="89" t="n">
        <f aca="false">K30-K31</f>
        <v>0</v>
      </c>
      <c r="L34" s="89" t="n">
        <f aca="false">L30-L31</f>
        <v>0</v>
      </c>
      <c r="M34" s="89" t="n">
        <f aca="false">M30-M31</f>
        <v>0</v>
      </c>
      <c r="N34" s="89" t="n">
        <f aca="false">N30-N31</f>
        <v>0</v>
      </c>
      <c r="O34" s="89" t="n">
        <f aca="false">O30-O31</f>
        <v>0</v>
      </c>
      <c r="P34" s="89" t="n">
        <f aca="false">P30-P31</f>
        <v>0</v>
      </c>
      <c r="Q34" s="89" t="n">
        <f aca="false">Q30-Q31</f>
        <v>0</v>
      </c>
    </row>
    <row r="35" customFormat="false" ht="15" hidden="false" customHeight="false" outlineLevel="0" collapsed="false">
      <c r="A35" s="83" t="s">
        <v>708</v>
      </c>
      <c r="B35" s="9" t="n">
        <f aca="false">B30/B8</f>
        <v>0.0262270622484752</v>
      </c>
      <c r="C35" s="9" t="n">
        <f aca="false">C30/C8</f>
        <v>0.0266780353930121</v>
      </c>
      <c r="D35" s="9" t="n">
        <f aca="false">D30/D8</f>
        <v>0.0247564973427276</v>
      </c>
      <c r="E35" s="9" t="n">
        <f aca="false">E30/E8</f>
        <v>0.0231192994463001</v>
      </c>
      <c r="F35" s="9" t="n">
        <f aca="false">F30/F8</f>
        <v>0.0213798787547076</v>
      </c>
      <c r="G35" s="9" t="n">
        <f aca="false">G30/G8</f>
        <v>0.0225535780556913</v>
      </c>
      <c r="H35" s="9" t="n">
        <f aca="false">H30/H8</f>
        <v>0.00877094552956309</v>
      </c>
      <c r="I35" s="9" t="n">
        <f aca="false">I30/I8</f>
        <v>0.00291482151177917</v>
      </c>
      <c r="J35" s="9" t="n">
        <f aca="false">J30/J8</f>
        <v>0</v>
      </c>
      <c r="K35" s="9" t="n">
        <f aca="false">K30/K8</f>
        <v>0</v>
      </c>
      <c r="L35" s="9" t="n">
        <f aca="false">L30/L8</f>
        <v>0</v>
      </c>
      <c r="M35" s="9" t="n">
        <f aca="false">M30/M8</f>
        <v>0</v>
      </c>
      <c r="N35" s="9" t="n">
        <f aca="false">N30/N8</f>
        <v>0</v>
      </c>
      <c r="O35" s="9" t="n">
        <f aca="false">O30/O8</f>
        <v>0</v>
      </c>
      <c r="P35" s="9" t="n">
        <f aca="false">P30/P8</f>
        <v>0</v>
      </c>
      <c r="Q35" s="9" t="n">
        <f aca="false">Q30/Q8</f>
        <v>0</v>
      </c>
    </row>
    <row r="37" customFormat="false" ht="15" hidden="false" customHeight="false" outlineLevel="0" collapsed="false">
      <c r="A37" s="75" t="s">
        <v>709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</row>
    <row r="38" customFormat="false" ht="15" hidden="false" customHeight="false" outlineLevel="0" collapsed="false">
      <c r="A38" s="74" t="s">
        <v>710</v>
      </c>
    </row>
    <row r="39" customFormat="false" ht="15" hidden="false" customHeight="false" outlineLevel="0" collapsed="false">
      <c r="A39" s="83" t="s">
        <v>711</v>
      </c>
      <c r="B39" s="84" t="n">
        <v>105960</v>
      </c>
      <c r="C39" s="84" t="n">
        <v>107434</v>
      </c>
      <c r="D39" s="84" t="n">
        <v>122342</v>
      </c>
      <c r="E39" s="84" t="n">
        <v>181449</v>
      </c>
      <c r="F39" s="84" t="n">
        <v>224812</v>
      </c>
      <c r="G39" s="84" t="n">
        <v>257210</v>
      </c>
      <c r="H39" s="84" t="n">
        <v>246505</v>
      </c>
      <c r="I39" s="84" t="n">
        <v>0</v>
      </c>
      <c r="J39" s="84" t="n">
        <v>0</v>
      </c>
      <c r="K39" s="84" t="n">
        <v>0</v>
      </c>
      <c r="L39" s="84" t="n">
        <v>0</v>
      </c>
      <c r="M39" s="84" t="n">
        <v>0</v>
      </c>
      <c r="N39" s="84" t="n">
        <v>0</v>
      </c>
      <c r="O39" s="84" t="n">
        <v>0</v>
      </c>
      <c r="P39" s="84" t="n">
        <v>0</v>
      </c>
      <c r="Q39" s="84" t="n">
        <v>0</v>
      </c>
    </row>
    <row r="40" customFormat="false" ht="15" hidden="false" customHeight="false" outlineLevel="0" collapsed="false">
      <c r="A40" s="83" t="s">
        <v>712</v>
      </c>
      <c r="B40" s="84" t="n">
        <v>22850</v>
      </c>
      <c r="C40" s="84" t="n">
        <v>25958</v>
      </c>
      <c r="D40" s="84" t="n">
        <v>30915</v>
      </c>
      <c r="E40" s="84" t="n">
        <v>34655</v>
      </c>
      <c r="F40" s="84" t="n">
        <v>41177</v>
      </c>
      <c r="G40" s="84" t="n">
        <v>37198</v>
      </c>
      <c r="H40" s="84" t="n">
        <v>51286</v>
      </c>
      <c r="I40" s="84" t="n">
        <v>196364</v>
      </c>
      <c r="J40" s="84" t="n">
        <v>162472</v>
      </c>
      <c r="K40" s="84" t="n">
        <v>2364</v>
      </c>
      <c r="L40" s="84" t="n">
        <v>8603</v>
      </c>
      <c r="M40" s="84" t="n">
        <v>0</v>
      </c>
      <c r="N40" s="84" t="n">
        <v>0</v>
      </c>
      <c r="O40" s="84" t="n">
        <v>0</v>
      </c>
      <c r="P40" s="84" t="n">
        <v>0</v>
      </c>
      <c r="Q40" s="84" t="n">
        <v>0</v>
      </c>
    </row>
    <row r="41" customFormat="false" ht="15" hidden="false" customHeight="false" outlineLevel="0" collapsed="false">
      <c r="A41" s="90" t="s">
        <v>713</v>
      </c>
      <c r="B41" s="86" t="n">
        <f aca="false">B39+B40</f>
        <v>128810</v>
      </c>
      <c r="C41" s="86" t="n">
        <f aca="false">C39+C40</f>
        <v>133392</v>
      </c>
      <c r="D41" s="86" t="n">
        <f aca="false">D39+D40</f>
        <v>153257</v>
      </c>
      <c r="E41" s="86" t="n">
        <f aca="false">E39+E40</f>
        <v>216104</v>
      </c>
      <c r="F41" s="86" t="n">
        <f aca="false">F39+F40</f>
        <v>265989</v>
      </c>
      <c r="G41" s="86" t="n">
        <f aca="false">G39+G40</f>
        <v>294408</v>
      </c>
      <c r="H41" s="86" t="n">
        <f aca="false">H39+H40</f>
        <v>297791</v>
      </c>
      <c r="I41" s="86" t="n">
        <f aca="false">I39+I40</f>
        <v>196364</v>
      </c>
      <c r="J41" s="86" t="n">
        <f aca="false">J39+J40</f>
        <v>162472</v>
      </c>
      <c r="K41" s="86" t="n">
        <f aca="false">K39+K40</f>
        <v>2364</v>
      </c>
      <c r="L41" s="86" t="n">
        <f aca="false">L39+L40</f>
        <v>8603</v>
      </c>
      <c r="M41" s="86" t="n">
        <f aca="false">M39+M40</f>
        <v>0</v>
      </c>
      <c r="N41" s="86" t="n">
        <f aca="false">N39+N40</f>
        <v>0</v>
      </c>
      <c r="O41" s="86" t="n">
        <f aca="false">O39+O40</f>
        <v>0</v>
      </c>
      <c r="P41" s="86" t="n">
        <f aca="false">P39+P40</f>
        <v>0</v>
      </c>
      <c r="Q41" s="86" t="n">
        <f aca="false">Q39+Q40</f>
        <v>0</v>
      </c>
      <c r="R41" s="80"/>
    </row>
    <row r="42" customFormat="false" ht="15" hidden="false" customHeight="false" outlineLevel="0" collapsed="false">
      <c r="A42" s="83" t="s">
        <v>714</v>
      </c>
      <c r="B42" s="84" t="n">
        <v>6894</v>
      </c>
      <c r="C42" s="84" t="n">
        <v>10600</v>
      </c>
      <c r="D42" s="84" t="n">
        <v>15345</v>
      </c>
      <c r="E42" s="84" t="n">
        <v>32633</v>
      </c>
      <c r="F42" s="84" t="n">
        <v>23440</v>
      </c>
      <c r="G42" s="84" t="n">
        <v>17173</v>
      </c>
      <c r="H42" s="84" t="n">
        <v>18455</v>
      </c>
      <c r="I42" s="84" t="n">
        <v>647</v>
      </c>
      <c r="J42" s="84" t="n">
        <v>0</v>
      </c>
      <c r="K42" s="84" t="n">
        <v>0</v>
      </c>
      <c r="L42" s="84" t="n">
        <v>0</v>
      </c>
      <c r="M42" s="84" t="n">
        <v>0</v>
      </c>
      <c r="N42" s="84" t="n">
        <v>0</v>
      </c>
      <c r="O42" s="84" t="n">
        <v>0</v>
      </c>
      <c r="P42" s="84" t="n">
        <v>0</v>
      </c>
      <c r="Q42" s="84" t="n">
        <v>0</v>
      </c>
    </row>
    <row r="43" customFormat="false" ht="15" hidden="false" customHeight="false" outlineLevel="0" collapsed="false">
      <c r="A43" s="83" t="s">
        <v>654</v>
      </c>
      <c r="B43" s="84" t="n">
        <v>4024</v>
      </c>
      <c r="C43" s="84" t="n">
        <v>7006</v>
      </c>
      <c r="D43" s="84" t="n">
        <v>9707</v>
      </c>
      <c r="E43" s="84" t="n">
        <v>25159</v>
      </c>
      <c r="F43" s="84" t="n">
        <v>15201</v>
      </c>
      <c r="G43" s="84" t="n">
        <v>6141</v>
      </c>
      <c r="H43" s="84" t="n">
        <v>9271</v>
      </c>
      <c r="I43" s="84" t="n">
        <v>0</v>
      </c>
      <c r="J43" s="84" t="n">
        <v>0</v>
      </c>
      <c r="K43" s="84" t="n">
        <v>0</v>
      </c>
      <c r="L43" s="84" t="n">
        <v>0</v>
      </c>
      <c r="M43" s="84" t="n">
        <v>0</v>
      </c>
      <c r="N43" s="84" t="n">
        <v>0</v>
      </c>
      <c r="O43" s="84" t="n">
        <v>0</v>
      </c>
      <c r="P43" s="84" t="n">
        <v>0</v>
      </c>
      <c r="Q43" s="84" t="n">
        <v>0</v>
      </c>
    </row>
    <row r="44" customFormat="false" ht="15" hidden="false" customHeight="false" outlineLevel="0" collapsed="false">
      <c r="A44" s="83" t="s">
        <v>715</v>
      </c>
      <c r="B44" s="89" t="n">
        <f aca="false">B42-B43</f>
        <v>2870</v>
      </c>
      <c r="C44" s="89" t="n">
        <f aca="false">C42-C43</f>
        <v>3594</v>
      </c>
      <c r="D44" s="89" t="n">
        <f aca="false">D42-D43</f>
        <v>5638</v>
      </c>
      <c r="E44" s="89" t="n">
        <f aca="false">E42-E43</f>
        <v>7474</v>
      </c>
      <c r="F44" s="89" t="n">
        <f aca="false">F42-F43</f>
        <v>8239</v>
      </c>
      <c r="G44" s="89" t="n">
        <f aca="false">G42-G43</f>
        <v>11032</v>
      </c>
      <c r="H44" s="89" t="n">
        <f aca="false">H42-H43</f>
        <v>9184</v>
      </c>
      <c r="I44" s="89" t="n">
        <f aca="false">I42-I43</f>
        <v>647</v>
      </c>
      <c r="J44" s="89" t="n">
        <f aca="false">J42-J43</f>
        <v>0</v>
      </c>
      <c r="K44" s="89" t="n">
        <f aca="false">K42-K43</f>
        <v>0</v>
      </c>
      <c r="L44" s="89" t="n">
        <f aca="false">L42-L43</f>
        <v>0</v>
      </c>
      <c r="M44" s="89" t="n">
        <f aca="false">M42-M43</f>
        <v>0</v>
      </c>
      <c r="N44" s="89" t="n">
        <f aca="false">N42-N43</f>
        <v>0</v>
      </c>
      <c r="O44" s="89" t="n">
        <f aca="false">O42-O43</f>
        <v>0</v>
      </c>
      <c r="P44" s="89" t="n">
        <f aca="false">P42-P43</f>
        <v>0</v>
      </c>
      <c r="Q44" s="89" t="n">
        <f aca="false">Q42-Q43</f>
        <v>0</v>
      </c>
    </row>
    <row r="45" customFormat="false" ht="15" hidden="false" customHeight="false" outlineLevel="0" collapsed="false">
      <c r="A45" s="83" t="s">
        <v>716</v>
      </c>
      <c r="B45" s="84" t="n">
        <v>3316</v>
      </c>
      <c r="C45" s="84" t="n">
        <v>5195</v>
      </c>
      <c r="D45" s="84" t="n">
        <v>6173</v>
      </c>
      <c r="E45" s="84" t="n">
        <v>7285</v>
      </c>
      <c r="F45" s="84" t="n">
        <v>0</v>
      </c>
      <c r="G45" s="84" t="n">
        <v>9592</v>
      </c>
      <c r="H45" s="84" t="n">
        <v>9863</v>
      </c>
      <c r="I45" s="84" t="n">
        <v>2252</v>
      </c>
      <c r="J45" s="84" t="n">
        <v>0</v>
      </c>
      <c r="K45" s="84" t="n">
        <v>0</v>
      </c>
      <c r="L45" s="84" t="n">
        <v>0</v>
      </c>
      <c r="M45" s="84" t="n">
        <v>0</v>
      </c>
      <c r="N45" s="84" t="n">
        <v>0</v>
      </c>
      <c r="O45" s="84" t="n">
        <v>0</v>
      </c>
      <c r="P45" s="84" t="n">
        <v>0</v>
      </c>
      <c r="Q45" s="84" t="n">
        <v>0</v>
      </c>
    </row>
    <row r="46" customFormat="false" ht="15" hidden="false" customHeight="false" outlineLevel="0" collapsed="false">
      <c r="A46" s="83" t="s">
        <v>717</v>
      </c>
      <c r="B46" s="43" t="n">
        <v>0.0583805209513024</v>
      </c>
      <c r="C46" s="43" t="n">
        <v>0.0818083660666083</v>
      </c>
      <c r="D46" s="43" t="n">
        <v>0.0965408445178271</v>
      </c>
      <c r="E46" s="43" t="n">
        <v>0.0813396601799955</v>
      </c>
      <c r="F46" s="43" t="n">
        <v>0.0366483995516254</v>
      </c>
      <c r="G46" s="43" t="n">
        <v>0.0801835076396719</v>
      </c>
      <c r="H46" s="43" t="n">
        <v>0.0772682095697856</v>
      </c>
    </row>
    <row r="48" customFormat="false" ht="15" hidden="false" customHeight="false" outlineLevel="0" collapsed="false">
      <c r="A48" s="75" t="s">
        <v>718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</row>
    <row r="49" customFormat="false" ht="15" hidden="false" customHeight="false" outlineLevel="0" collapsed="false">
      <c r="A49" s="83" t="s">
        <v>719</v>
      </c>
      <c r="B49" s="84" t="n">
        <v>0</v>
      </c>
      <c r="C49" s="84" t="n">
        <v>0</v>
      </c>
      <c r="D49" s="84" t="n">
        <v>0</v>
      </c>
      <c r="E49" s="84" t="n">
        <v>0</v>
      </c>
      <c r="F49" s="84" t="n">
        <v>364928</v>
      </c>
      <c r="G49" s="84" t="n">
        <v>328535</v>
      </c>
      <c r="H49" s="84" t="n">
        <v>356695</v>
      </c>
      <c r="I49" s="84" t="n">
        <v>242599</v>
      </c>
      <c r="J49" s="84" t="n">
        <v>186522</v>
      </c>
      <c r="K49" s="84" t="n">
        <v>170018</v>
      </c>
      <c r="L49" s="84" t="n">
        <v>84567</v>
      </c>
      <c r="M49" s="85" t="n">
        <f aca="false">Assumptions!B25</f>
        <v>40000</v>
      </c>
      <c r="N49" s="85" t="n">
        <f aca="false">Assumptions!C25</f>
        <v>15000</v>
      </c>
      <c r="O49" s="85" t="n">
        <f aca="false">Assumptions!D25</f>
        <v>0</v>
      </c>
      <c r="P49" s="85" t="n">
        <f aca="false">Assumptions!E25</f>
        <v>0</v>
      </c>
      <c r="Q49" s="85" t="n">
        <f aca="false">Assumptions!F25</f>
        <v>0</v>
      </c>
    </row>
    <row r="50" customFormat="false" ht="15" hidden="false" customHeight="false" outlineLevel="0" collapsed="false">
      <c r="A50" s="83" t="s">
        <v>720</v>
      </c>
      <c r="K50" s="84" t="n">
        <v>486259</v>
      </c>
      <c r="L50" s="84" t="n">
        <v>209986</v>
      </c>
      <c r="M50" s="84" t="n">
        <v>0</v>
      </c>
      <c r="N50" s="84" t="n">
        <v>0</v>
      </c>
      <c r="O50" s="84" t="n">
        <v>0</v>
      </c>
      <c r="P50" s="84" t="n">
        <v>0</v>
      </c>
      <c r="Q50" s="84" t="n">
        <v>0</v>
      </c>
    </row>
    <row r="51" customFormat="false" ht="15" hidden="false" customHeight="false" outlineLevel="0" collapsed="false">
      <c r="A51" s="83" t="s">
        <v>721</v>
      </c>
      <c r="B51" s="84" t="n">
        <v>0</v>
      </c>
      <c r="C51" s="84" t="n">
        <v>0</v>
      </c>
      <c r="D51" s="84" t="n">
        <v>0</v>
      </c>
      <c r="E51" s="84" t="n">
        <v>0</v>
      </c>
      <c r="F51" s="84" t="n">
        <v>0</v>
      </c>
      <c r="G51" s="84" t="n">
        <v>12542</v>
      </c>
      <c r="H51" s="84" t="n">
        <v>12756</v>
      </c>
      <c r="I51" s="84" t="n">
        <v>9274</v>
      </c>
      <c r="J51" s="84" t="n">
        <v>10868</v>
      </c>
      <c r="K51" s="84" t="n">
        <v>134990</v>
      </c>
      <c r="L51" s="84" t="n">
        <v>128087</v>
      </c>
      <c r="M51" s="85" t="n">
        <f aca="false">Assumptions!B26</f>
        <v>60000</v>
      </c>
      <c r="N51" s="85" t="n">
        <f aca="false">Assumptions!C26</f>
        <v>20000</v>
      </c>
      <c r="O51" s="85" t="n">
        <f aca="false">Assumptions!D26</f>
        <v>0</v>
      </c>
      <c r="P51" s="85" t="n">
        <f aca="false">Assumptions!E26</f>
        <v>0</v>
      </c>
      <c r="Q51" s="85" t="n">
        <f aca="false">Assumptions!F26</f>
        <v>0</v>
      </c>
    </row>
    <row r="52" customFormat="false" ht="15" hidden="false" customHeight="false" outlineLevel="0" collapsed="false">
      <c r="A52" s="83" t="s">
        <v>722</v>
      </c>
      <c r="B52" s="84" t="n">
        <v>0</v>
      </c>
      <c r="C52" s="84" t="n">
        <v>0</v>
      </c>
      <c r="D52" s="84" t="n">
        <v>0</v>
      </c>
      <c r="E52" s="84" t="n">
        <v>0</v>
      </c>
      <c r="F52" s="84" t="n">
        <v>-47058</v>
      </c>
      <c r="G52" s="84" t="n">
        <v>24478</v>
      </c>
      <c r="H52" s="84" t="n">
        <v>-38651</v>
      </c>
      <c r="I52" s="84" t="n">
        <v>104822</v>
      </c>
      <c r="J52" s="84" t="n">
        <v>45209</v>
      </c>
      <c r="K52" s="84" t="n">
        <v>-118526</v>
      </c>
      <c r="L52" s="84" t="n">
        <v>-39656</v>
      </c>
      <c r="M52" s="84" t="n">
        <v>0</v>
      </c>
      <c r="N52" s="84" t="n">
        <v>0</v>
      </c>
      <c r="O52" s="84" t="n">
        <v>0</v>
      </c>
      <c r="P52" s="84" t="n">
        <v>0</v>
      </c>
      <c r="Q52" s="84" t="n">
        <v>0</v>
      </c>
    </row>
    <row r="53" customFormat="false" ht="15" hidden="false" customHeight="false" outlineLevel="0" collapsed="false">
      <c r="A53" s="83" t="s">
        <v>723</v>
      </c>
      <c r="B53" s="84" t="n">
        <v>0</v>
      </c>
      <c r="C53" s="84" t="n">
        <v>0</v>
      </c>
      <c r="D53" s="84" t="n">
        <v>0</v>
      </c>
      <c r="E53" s="84" t="n">
        <v>0</v>
      </c>
      <c r="F53" s="84" t="n">
        <v>4706</v>
      </c>
      <c r="G53" s="84" t="n">
        <v>16275</v>
      </c>
      <c r="H53" s="84" t="n">
        <v>17138</v>
      </c>
      <c r="I53" s="84" t="n">
        <v>18011</v>
      </c>
      <c r="J53" s="84" t="n">
        <v>15452</v>
      </c>
      <c r="K53" s="84" t="n">
        <v>18736</v>
      </c>
      <c r="L53" s="84" t="n">
        <v>7276</v>
      </c>
      <c r="M53" s="89" t="n">
        <f aca="false">Ops!M17*0.35</f>
        <v>8750</v>
      </c>
      <c r="N53" s="89" t="n">
        <f aca="false">Ops!N17*0.35</f>
        <v>3500</v>
      </c>
      <c r="O53" s="89" t="n">
        <f aca="false">Ops!O17*0.35</f>
        <v>0</v>
      </c>
      <c r="P53" s="89" t="n">
        <f aca="false">Ops!P17*0.35</f>
        <v>0</v>
      </c>
      <c r="Q53" s="89" t="n">
        <f aca="false">Ops!Q17*0.35</f>
        <v>0</v>
      </c>
    </row>
    <row r="55" customFormat="false" ht="15" hidden="false" customHeight="false" outlineLevel="0" collapsed="false">
      <c r="A55" s="75" t="s">
        <v>724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</row>
    <row r="56" customFormat="false" ht="15" hidden="false" customHeight="false" outlineLevel="0" collapsed="false">
      <c r="A56" s="74" t="s">
        <v>725</v>
      </c>
    </row>
    <row r="57" customFormat="false" ht="15" hidden="false" customHeight="false" outlineLevel="0" collapsed="false">
      <c r="A57" s="83" t="s">
        <v>726</v>
      </c>
      <c r="B57" s="84" t="n">
        <v>0</v>
      </c>
      <c r="C57" s="84" t="n">
        <v>0</v>
      </c>
      <c r="D57" s="84" t="n">
        <v>0</v>
      </c>
      <c r="E57" s="84" t="n">
        <v>0</v>
      </c>
      <c r="F57" s="84" t="n">
        <v>0</v>
      </c>
      <c r="G57" s="84" t="n">
        <v>0</v>
      </c>
      <c r="H57" s="84" t="n">
        <v>114990</v>
      </c>
      <c r="I57" s="84" t="n">
        <v>46800</v>
      </c>
      <c r="J57" s="84" t="n">
        <v>0</v>
      </c>
      <c r="K57" s="84" t="n">
        <v>130161</v>
      </c>
      <c r="L57" s="84" t="n">
        <v>139394</v>
      </c>
      <c r="M57" s="84" t="n">
        <v>130000</v>
      </c>
      <c r="N57" s="84" t="n">
        <v>120000</v>
      </c>
      <c r="O57" s="84" t="n">
        <v>110000</v>
      </c>
      <c r="P57" s="84" t="n">
        <v>100000</v>
      </c>
      <c r="Q57" s="84" t="n">
        <v>90000</v>
      </c>
    </row>
    <row r="58" customFormat="false" ht="15" hidden="false" customHeight="false" outlineLevel="0" collapsed="false">
      <c r="A58" s="83" t="s">
        <v>727</v>
      </c>
      <c r="B58" s="84" t="n">
        <v>0</v>
      </c>
      <c r="C58" s="84" t="n">
        <v>0</v>
      </c>
      <c r="D58" s="84" t="n">
        <v>0</v>
      </c>
      <c r="E58" s="84" t="n">
        <v>0</v>
      </c>
      <c r="F58" s="84" t="n">
        <v>0</v>
      </c>
      <c r="G58" s="84" t="n">
        <v>0</v>
      </c>
      <c r="H58" s="84" t="n">
        <v>778</v>
      </c>
      <c r="I58" s="84" t="n">
        <v>1971</v>
      </c>
      <c r="J58" s="84" t="n">
        <v>1278</v>
      </c>
      <c r="K58" s="84" t="n">
        <v>2228</v>
      </c>
      <c r="L58" s="84" t="n">
        <v>10890</v>
      </c>
      <c r="M58" s="84" t="n">
        <v>8000</v>
      </c>
      <c r="N58" s="84" t="n">
        <v>8000</v>
      </c>
      <c r="O58" s="84" t="n">
        <v>8000</v>
      </c>
      <c r="P58" s="84" t="n">
        <v>8000</v>
      </c>
      <c r="Q58" s="84" t="n">
        <v>8000</v>
      </c>
    </row>
    <row r="59" customFormat="false" ht="15" hidden="false" customHeight="false" outlineLevel="0" collapsed="false">
      <c r="A59" s="83" t="s">
        <v>728</v>
      </c>
      <c r="B59" s="34" t="n">
        <f aca="false">IF(B57=0,0,B58/B57)</f>
        <v>0</v>
      </c>
      <c r="C59" s="34" t="n">
        <f aca="false">IF(C57=0,0,C58/C57)</f>
        <v>0</v>
      </c>
      <c r="D59" s="34" t="n">
        <f aca="false">IF(D57=0,0,D58/D57)</f>
        <v>0</v>
      </c>
      <c r="E59" s="34" t="n">
        <f aca="false">IF(E57=0,0,E58/E57)</f>
        <v>0</v>
      </c>
      <c r="F59" s="34" t="n">
        <f aca="false">IF(F57=0,0,F58/F57)</f>
        <v>0</v>
      </c>
      <c r="G59" s="34" t="n">
        <f aca="false">IF(G57=0,0,G58/G57)</f>
        <v>0</v>
      </c>
      <c r="H59" s="34" t="n">
        <f aca="false">IF(H57=0,0,H58/H57)</f>
        <v>0.00676580572223672</v>
      </c>
      <c r="I59" s="34" t="n">
        <f aca="false">IF(I57=0,0,I58/I57)</f>
        <v>0.0421153846153846</v>
      </c>
      <c r="J59" s="34" t="n">
        <f aca="false">IF(J57=0,0,J58/J57)</f>
        <v>0</v>
      </c>
      <c r="K59" s="34" t="n">
        <f aca="false">IF(K57=0,0,K58/K57)</f>
        <v>0.0171172624672521</v>
      </c>
      <c r="L59" s="34" t="n">
        <f aca="false">IF(L57=0,0,L58/L57)</f>
        <v>0.0781238790765743</v>
      </c>
      <c r="M59" s="34" t="n">
        <f aca="false">IF(M57=0,0,M58/M57)</f>
        <v>0.0615384615384615</v>
      </c>
      <c r="N59" s="34" t="n">
        <f aca="false">IF(N57=0,0,N58/N57)</f>
        <v>0.0666666666666667</v>
      </c>
      <c r="O59" s="34" t="n">
        <f aca="false">IF(O57=0,0,O58/O57)</f>
        <v>0.0727272727272727</v>
      </c>
      <c r="P59" s="34" t="n">
        <f aca="false">IF(P57=0,0,P58/P57)</f>
        <v>0.08</v>
      </c>
      <c r="Q59" s="34" t="n">
        <f aca="false">IF(Q57=0,0,Q58/Q57)</f>
        <v>0.0888888888888889</v>
      </c>
    </row>
    <row r="60" customFormat="false" ht="15" hidden="false" customHeight="false" outlineLevel="0" collapsed="false">
      <c r="A60" s="83" t="s">
        <v>729</v>
      </c>
      <c r="B60" s="74" t="s">
        <v>730</v>
      </c>
    </row>
    <row r="61" customFormat="false" ht="15" hidden="false" customHeight="false" outlineLevel="0" collapsed="false">
      <c r="B61" s="74" t="s">
        <v>731</v>
      </c>
    </row>
    <row r="63" customFormat="false" ht="15" hidden="false" customHeight="false" outlineLevel="0" collapsed="false">
      <c r="A63" s="75" t="s">
        <v>732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</row>
    <row r="64" customFormat="false" ht="15" hidden="false" customHeight="false" outlineLevel="0" collapsed="false">
      <c r="A64" s="83" t="s">
        <v>733</v>
      </c>
      <c r="B64" s="89" t="n">
        <f aca="false">B11</f>
        <v>6500000</v>
      </c>
      <c r="C64" s="89" t="n">
        <f aca="false">C11</f>
        <v>7250000</v>
      </c>
      <c r="D64" s="89" t="n">
        <f aca="false">D11</f>
        <v>8100000</v>
      </c>
      <c r="E64" s="89" t="n">
        <f aca="false">E11</f>
        <v>9400000</v>
      </c>
      <c r="F64" s="89" t="n">
        <f aca="false">F11</f>
        <v>10100000</v>
      </c>
      <c r="G64" s="89" t="n">
        <f aca="false">G11</f>
        <v>11600000</v>
      </c>
      <c r="H64" s="89" t="n">
        <f aca="false">H11</f>
        <v>14425769</v>
      </c>
      <c r="I64" s="89" t="n">
        <f aca="false">I11</f>
        <v>13650000</v>
      </c>
      <c r="J64" s="89" t="n">
        <f aca="false">J11</f>
        <v>13500000</v>
      </c>
      <c r="K64" s="89" t="n">
        <f aca="false">K11</f>
        <v>13700000</v>
      </c>
      <c r="L64" s="89" t="n">
        <f aca="false">L11</f>
        <v>14500000</v>
      </c>
      <c r="M64" s="89" t="n">
        <f aca="false">M11</f>
        <v>14838458.544</v>
      </c>
      <c r="N64" s="89" t="n">
        <f aca="false">N11</f>
        <v>15330114.5740291</v>
      </c>
      <c r="O64" s="89" t="n">
        <f aca="false">O11</f>
        <v>15838003.0138477</v>
      </c>
      <c r="P64" s="89" t="n">
        <f aca="false">P11</f>
        <v>16362658.1199484</v>
      </c>
      <c r="Q64" s="89" t="n">
        <f aca="false">Q11</f>
        <v>16904631.6846274</v>
      </c>
    </row>
    <row r="65" customFormat="false" ht="15" hidden="false" customHeight="false" outlineLevel="0" collapsed="false">
      <c r="A65" s="83" t="s">
        <v>734</v>
      </c>
      <c r="B65" s="89" t="n">
        <f aca="false">B12</f>
        <v>125000</v>
      </c>
      <c r="C65" s="89" t="n">
        <f aca="false">C12</f>
        <v>134000</v>
      </c>
      <c r="D65" s="89" t="n">
        <f aca="false">D12</f>
        <v>140000</v>
      </c>
      <c r="E65" s="89" t="n">
        <f aca="false">E12</f>
        <v>155000</v>
      </c>
      <c r="F65" s="89" t="n">
        <f aca="false">F12</f>
        <v>190000</v>
      </c>
      <c r="G65" s="89" t="n">
        <f aca="false">G12</f>
        <v>300000</v>
      </c>
      <c r="H65" s="89" t="n">
        <f aca="false">H12</f>
        <v>350000</v>
      </c>
      <c r="I65" s="89" t="n">
        <f aca="false">I12</f>
        <v>400000</v>
      </c>
      <c r="J65" s="89" t="n">
        <f aca="false">J12</f>
        <v>380000</v>
      </c>
      <c r="K65" s="89" t="n">
        <f aca="false">K12</f>
        <v>0</v>
      </c>
      <c r="L65" s="89" t="n">
        <f aca="false">L12</f>
        <v>0</v>
      </c>
      <c r="M65" s="89" t="n">
        <f aca="false">M12</f>
        <v>0</v>
      </c>
      <c r="N65" s="89" t="n">
        <f aca="false">N12</f>
        <v>0</v>
      </c>
      <c r="O65" s="89" t="n">
        <f aca="false">O12</f>
        <v>0</v>
      </c>
      <c r="P65" s="89" t="n">
        <f aca="false">P12</f>
        <v>0</v>
      </c>
      <c r="Q65" s="89" t="n">
        <f aca="false">Q12</f>
        <v>0</v>
      </c>
    </row>
    <row r="66" customFormat="false" ht="15" hidden="false" customHeight="false" outlineLevel="0" collapsed="false">
      <c r="A66" s="83" t="s">
        <v>735</v>
      </c>
      <c r="B66" s="89" t="n">
        <f aca="false">B18</f>
        <v>0</v>
      </c>
      <c r="C66" s="89" t="n">
        <f aca="false">C18</f>
        <v>0</v>
      </c>
      <c r="D66" s="89" t="n">
        <f aca="false">D18</f>
        <v>350000</v>
      </c>
      <c r="E66" s="89" t="n">
        <f aca="false">E18</f>
        <v>500000</v>
      </c>
      <c r="F66" s="89" t="n">
        <f aca="false">F18</f>
        <v>2150000</v>
      </c>
      <c r="G66" s="89" t="n">
        <f aca="false">G18</f>
        <v>2350000</v>
      </c>
      <c r="H66" s="89" t="n">
        <f aca="false">H18</f>
        <v>2676150</v>
      </c>
      <c r="I66" s="89" t="n">
        <f aca="false">I18</f>
        <v>2600000</v>
      </c>
      <c r="J66" s="89" t="n">
        <f aca="false">J18</f>
        <v>2230000</v>
      </c>
      <c r="K66" s="89" t="n">
        <f aca="false">K18</f>
        <v>1100000</v>
      </c>
      <c r="L66" s="89" t="n">
        <f aca="false">L18</f>
        <v>232000</v>
      </c>
      <c r="M66" s="89" t="n">
        <f aca="false">M18</f>
        <v>0</v>
      </c>
      <c r="N66" s="89" t="n">
        <f aca="false">N18</f>
        <v>0</v>
      </c>
      <c r="O66" s="89" t="n">
        <f aca="false">O18</f>
        <v>0</v>
      </c>
      <c r="P66" s="89" t="n">
        <f aca="false">P18</f>
        <v>0</v>
      </c>
      <c r="Q66" s="89" t="n">
        <f aca="false">Q18</f>
        <v>0</v>
      </c>
    </row>
    <row r="67" customFormat="false" ht="15" hidden="false" customHeight="false" outlineLevel="0" collapsed="false">
      <c r="A67" s="83" t="s">
        <v>736</v>
      </c>
      <c r="B67" s="89" t="n">
        <f aca="false">B41</f>
        <v>128810</v>
      </c>
      <c r="C67" s="89" t="n">
        <f aca="false">C41</f>
        <v>133392</v>
      </c>
      <c r="D67" s="89" t="n">
        <f aca="false">D41</f>
        <v>153257</v>
      </c>
      <c r="E67" s="89" t="n">
        <f aca="false">E41</f>
        <v>216104</v>
      </c>
      <c r="F67" s="89" t="n">
        <f aca="false">F41</f>
        <v>265989</v>
      </c>
      <c r="G67" s="89" t="n">
        <f aca="false">G41</f>
        <v>294408</v>
      </c>
      <c r="H67" s="89" t="n">
        <f aca="false">H41</f>
        <v>297791</v>
      </c>
      <c r="I67" s="89" t="n">
        <f aca="false">I41</f>
        <v>196364</v>
      </c>
      <c r="J67" s="89" t="n">
        <f aca="false">J41</f>
        <v>162472</v>
      </c>
      <c r="K67" s="89" t="n">
        <f aca="false">K41</f>
        <v>2364</v>
      </c>
      <c r="L67" s="89" t="n">
        <f aca="false">L41</f>
        <v>8603</v>
      </c>
      <c r="M67" s="89" t="n">
        <f aca="false">M41</f>
        <v>0</v>
      </c>
      <c r="N67" s="89" t="n">
        <f aca="false">N41</f>
        <v>0</v>
      </c>
      <c r="O67" s="89" t="n">
        <f aca="false">O41</f>
        <v>0</v>
      </c>
      <c r="P67" s="89" t="n">
        <f aca="false">P41</f>
        <v>0</v>
      </c>
      <c r="Q67" s="89" t="n">
        <f aca="false">Q41</f>
        <v>0</v>
      </c>
    </row>
    <row r="68" customFormat="false" ht="15" hidden="false" customHeight="false" outlineLevel="0" collapsed="false">
      <c r="A68" s="83" t="s">
        <v>737</v>
      </c>
      <c r="B68" s="89" t="n">
        <f aca="false">B57</f>
        <v>0</v>
      </c>
      <c r="C68" s="89" t="n">
        <f aca="false">C57</f>
        <v>0</v>
      </c>
      <c r="D68" s="89" t="n">
        <f aca="false">D57</f>
        <v>0</v>
      </c>
      <c r="E68" s="89" t="n">
        <f aca="false">E57</f>
        <v>0</v>
      </c>
      <c r="F68" s="89" t="n">
        <f aca="false">F57</f>
        <v>0</v>
      </c>
      <c r="G68" s="89" t="n">
        <f aca="false">G57</f>
        <v>0</v>
      </c>
      <c r="H68" s="89" t="n">
        <f aca="false">H57</f>
        <v>114990</v>
      </c>
      <c r="I68" s="89" t="n">
        <f aca="false">I57</f>
        <v>46800</v>
      </c>
      <c r="J68" s="89" t="n">
        <f aca="false">J57</f>
        <v>0</v>
      </c>
      <c r="K68" s="89" t="n">
        <f aca="false">K57</f>
        <v>130161</v>
      </c>
      <c r="L68" s="89" t="n">
        <f aca="false">L57</f>
        <v>139394</v>
      </c>
      <c r="M68" s="89" t="n">
        <f aca="false">M57</f>
        <v>130000</v>
      </c>
      <c r="N68" s="89" t="n">
        <f aca="false">N57</f>
        <v>120000</v>
      </c>
      <c r="O68" s="89" t="n">
        <f aca="false">O57</f>
        <v>110000</v>
      </c>
      <c r="P68" s="89" t="n">
        <f aca="false">P57</f>
        <v>100000</v>
      </c>
      <c r="Q68" s="89" t="n">
        <f aca="false">Q57</f>
        <v>90000</v>
      </c>
    </row>
    <row r="69" customFormat="false" ht="15" hidden="false" customHeight="false" outlineLevel="0" collapsed="false">
      <c r="A69" s="83" t="s">
        <v>738</v>
      </c>
      <c r="B69" s="84" t="n">
        <v>200000</v>
      </c>
      <c r="C69" s="84" t="n">
        <v>200000</v>
      </c>
      <c r="D69" s="84" t="n">
        <v>200000</v>
      </c>
      <c r="E69" s="84" t="n">
        <v>200000</v>
      </c>
      <c r="F69" s="84" t="n">
        <v>200000</v>
      </c>
      <c r="G69" s="84" t="n">
        <v>200000</v>
      </c>
      <c r="H69" s="84" t="n">
        <v>200000</v>
      </c>
      <c r="I69" s="84" t="n">
        <v>200000</v>
      </c>
      <c r="J69" s="84" t="n">
        <v>200000</v>
      </c>
      <c r="K69" s="84" t="n">
        <v>200000</v>
      </c>
      <c r="L69" s="84" t="n">
        <v>200000</v>
      </c>
      <c r="M69" s="84" t="n">
        <v>150000</v>
      </c>
      <c r="N69" s="84" t="n">
        <v>150000</v>
      </c>
      <c r="O69" s="84" t="n">
        <v>150000</v>
      </c>
      <c r="P69" s="84" t="n">
        <v>150000</v>
      </c>
      <c r="Q69" s="84" t="n">
        <v>150000</v>
      </c>
    </row>
    <row r="70" customFormat="false" ht="15" hidden="false" customHeight="false" outlineLevel="0" collapsed="false">
      <c r="A70" s="77" t="s">
        <v>739</v>
      </c>
      <c r="B70" s="86" t="n">
        <f aca="false">B64+B65+B66+B67+B68+B69</f>
        <v>6953810</v>
      </c>
      <c r="C70" s="86" t="n">
        <f aca="false">C64+C65+C66+C67+C68+C69</f>
        <v>7717392</v>
      </c>
      <c r="D70" s="86" t="n">
        <f aca="false">D64+D65+D66+D67+D68+D69</f>
        <v>8943257</v>
      </c>
      <c r="E70" s="86" t="n">
        <f aca="false">E64+E65+E66+E67+E68+E69</f>
        <v>10471104</v>
      </c>
      <c r="F70" s="86" t="n">
        <f aca="false">F64+F65+F66+F67+F68+F69</f>
        <v>12905989</v>
      </c>
      <c r="G70" s="86" t="n">
        <f aca="false">G64+G65+G66+G67+G68+G69</f>
        <v>14744408</v>
      </c>
      <c r="H70" s="86" t="n">
        <f aca="false">H64+H65+H66+H67+H68+H69</f>
        <v>18064700</v>
      </c>
      <c r="I70" s="86" t="n">
        <f aca="false">I64+I65+I66+I67+I68+I69</f>
        <v>17093164</v>
      </c>
      <c r="J70" s="86" t="n">
        <f aca="false">J64+J65+J66+J67+J68+J69</f>
        <v>16472472</v>
      </c>
      <c r="K70" s="86" t="n">
        <f aca="false">K64+K65+K66+K67+K68+K69</f>
        <v>15132525</v>
      </c>
      <c r="L70" s="86" t="n">
        <f aca="false">L64+L65+L66+L67+L68+L69</f>
        <v>15079997</v>
      </c>
      <c r="M70" s="86" t="n">
        <f aca="false">M64+M65+M66+M67+M68+M69</f>
        <v>15118458.544</v>
      </c>
      <c r="N70" s="86" t="n">
        <f aca="false">N64+N65+N66+N67+N68+N69</f>
        <v>15600114.5740291</v>
      </c>
      <c r="O70" s="86" t="n">
        <f aca="false">O64+O65+O66+O67+O68+O69</f>
        <v>16098003.0138477</v>
      </c>
      <c r="P70" s="86" t="n">
        <f aca="false">P64+P65+P66+P67+P68+P69</f>
        <v>16612658.1199484</v>
      </c>
      <c r="Q70" s="86" t="n">
        <f aca="false">Q64+Q65+Q66+Q67+Q68+Q69</f>
        <v>17144631.6846274</v>
      </c>
      <c r="R70" s="80"/>
    </row>
    <row r="72" customFormat="false" ht="15" hidden="false" customHeight="false" outlineLevel="0" collapsed="false">
      <c r="A72" s="73" t="s">
        <v>740</v>
      </c>
    </row>
    <row r="73" customFormat="false" ht="15" hidden="false" customHeight="false" outlineLevel="0" collapsed="false">
      <c r="A73" s="83" t="s">
        <v>741</v>
      </c>
      <c r="B73" s="89" t="n">
        <f aca="false">B23</f>
        <v>3097773</v>
      </c>
      <c r="C73" s="89" t="n">
        <f aca="false">C23</f>
        <v>3492923</v>
      </c>
      <c r="D73" s="89" t="n">
        <f aca="false">D23</f>
        <v>3500000</v>
      </c>
      <c r="E73" s="89" t="n">
        <f aca="false">E23</f>
        <v>3600000</v>
      </c>
      <c r="F73" s="89" t="n">
        <f aca="false">F23</f>
        <v>3650000</v>
      </c>
      <c r="G73" s="89" t="n">
        <f aca="false">G23</f>
        <v>4200000</v>
      </c>
      <c r="H73" s="89" t="n">
        <f aca="false">H23</f>
        <v>4928030</v>
      </c>
      <c r="I73" s="89" t="n">
        <f aca="false">I23</f>
        <v>5310000</v>
      </c>
      <c r="J73" s="89" t="n">
        <f aca="false">J23</f>
        <v>5700000</v>
      </c>
      <c r="K73" s="89" t="n">
        <f aca="false">K23</f>
        <v>5474000</v>
      </c>
      <c r="L73" s="89" t="n">
        <f aca="false">L23</f>
        <v>5500000</v>
      </c>
      <c r="M73" s="89" t="n">
        <f aca="false">M23</f>
        <v>5483601</v>
      </c>
      <c r="N73" s="89" t="n">
        <f aca="false">N23</f>
        <v>5383601</v>
      </c>
      <c r="O73" s="89" t="n">
        <f aca="false">O23</f>
        <v>5283601</v>
      </c>
      <c r="P73" s="89" t="n">
        <f aca="false">P23</f>
        <v>5233601</v>
      </c>
      <c r="Q73" s="89" t="n">
        <f aca="false">Q23</f>
        <v>5183601</v>
      </c>
    </row>
    <row r="74" customFormat="false" ht="15" hidden="false" customHeight="false" outlineLevel="0" collapsed="false">
      <c r="A74" s="83" t="s">
        <v>742</v>
      </c>
      <c r="B74" s="89" t="n">
        <f aca="false">B24</f>
        <v>0</v>
      </c>
      <c r="C74" s="89" t="n">
        <f aca="false">C24</f>
        <v>0</v>
      </c>
      <c r="D74" s="89" t="n">
        <f aca="false">D24</f>
        <v>81501</v>
      </c>
      <c r="E74" s="89" t="n">
        <f aca="false">E24</f>
        <v>128333</v>
      </c>
      <c r="F74" s="89" t="n">
        <f aca="false">F24</f>
        <v>658572</v>
      </c>
      <c r="G74" s="89" t="n">
        <f aca="false">G24</f>
        <v>1201202</v>
      </c>
      <c r="H74" s="89" t="n">
        <f aca="false">H24</f>
        <v>1172035</v>
      </c>
      <c r="I74" s="89" t="n">
        <f aca="false">I24</f>
        <v>1266829</v>
      </c>
      <c r="J74" s="89" t="n">
        <f aca="false">J24</f>
        <v>953988</v>
      </c>
      <c r="K74" s="89" t="n">
        <f aca="false">K24</f>
        <v>513571</v>
      </c>
      <c r="L74" s="89" t="n">
        <f aca="false">L24</f>
        <v>133601</v>
      </c>
      <c r="M74" s="89" t="n">
        <f aca="false">M24</f>
        <v>50000</v>
      </c>
      <c r="N74" s="89" t="n">
        <f aca="false">N24</f>
        <v>0</v>
      </c>
      <c r="O74" s="89" t="n">
        <f aca="false">O24</f>
        <v>0</v>
      </c>
      <c r="P74" s="89" t="n">
        <f aca="false">P24</f>
        <v>0</v>
      </c>
      <c r="Q74" s="89" t="n">
        <f aca="false">Q24</f>
        <v>0</v>
      </c>
    </row>
    <row r="75" customFormat="false" ht="15" hidden="false" customHeight="false" outlineLevel="0" collapsed="false">
      <c r="A75" s="83" t="s">
        <v>743</v>
      </c>
      <c r="B75" s="84" t="n">
        <v>168211</v>
      </c>
      <c r="C75" s="84" t="n">
        <v>26408</v>
      </c>
      <c r="D75" s="84" t="n">
        <v>446895</v>
      </c>
      <c r="E75" s="84" t="n">
        <v>567365</v>
      </c>
      <c r="F75" s="84" t="n">
        <v>623893</v>
      </c>
      <c r="G75" s="84" t="n">
        <v>118553</v>
      </c>
      <c r="H75" s="84" t="n">
        <v>310866</v>
      </c>
      <c r="I75" s="84" t="n">
        <v>388975</v>
      </c>
      <c r="J75" s="84" t="n">
        <v>405133</v>
      </c>
      <c r="K75" s="84" t="n">
        <v>4145</v>
      </c>
      <c r="L75" s="84" t="n">
        <v>331250</v>
      </c>
      <c r="M75" s="85" t="n">
        <f aca="false">Assumptions!B55</f>
        <v>246624.7841558</v>
      </c>
      <c r="N75" s="85" t="n">
        <f aca="false">Assumptions!C55</f>
        <v>304024.93896358</v>
      </c>
      <c r="O75" s="85" t="n">
        <f aca="false">Assumptions!D55</f>
        <v>515675.932595909</v>
      </c>
      <c r="P75" s="85" t="n">
        <f aca="false">Assumptions!E55</f>
        <v>721918.858811338</v>
      </c>
      <c r="Q75" s="85" t="n">
        <f aca="false">Assumptions!F55</f>
        <v>920673.518684861</v>
      </c>
    </row>
    <row r="76" customFormat="false" ht="15" hidden="false" customHeight="false" outlineLevel="0" collapsed="false">
      <c r="A76" s="83" t="s">
        <v>744</v>
      </c>
      <c r="B76" s="89" t="n">
        <f aca="false">B49</f>
        <v>0</v>
      </c>
      <c r="C76" s="89" t="n">
        <f aca="false">C49</f>
        <v>0</v>
      </c>
      <c r="D76" s="89" t="n">
        <f aca="false">D49</f>
        <v>0</v>
      </c>
      <c r="E76" s="89" t="n">
        <f aca="false">E49</f>
        <v>0</v>
      </c>
      <c r="F76" s="89" t="n">
        <f aca="false">F49</f>
        <v>364928</v>
      </c>
      <c r="G76" s="89" t="n">
        <f aca="false">G49</f>
        <v>328535</v>
      </c>
      <c r="H76" s="89" t="n">
        <f aca="false">H49</f>
        <v>356695</v>
      </c>
      <c r="I76" s="89" t="n">
        <f aca="false">I49</f>
        <v>242599</v>
      </c>
      <c r="J76" s="89" t="n">
        <f aca="false">J49</f>
        <v>186522</v>
      </c>
      <c r="K76" s="89" t="n">
        <f aca="false">K49</f>
        <v>170018</v>
      </c>
      <c r="L76" s="89" t="n">
        <f aca="false">L49</f>
        <v>84567</v>
      </c>
      <c r="M76" s="89" t="n">
        <f aca="false">M49</f>
        <v>40000</v>
      </c>
      <c r="N76" s="89" t="n">
        <f aca="false">N49</f>
        <v>15000</v>
      </c>
      <c r="O76" s="89" t="n">
        <f aca="false">O49</f>
        <v>0</v>
      </c>
      <c r="P76" s="89" t="n">
        <f aca="false">P49</f>
        <v>0</v>
      </c>
      <c r="Q76" s="89" t="n">
        <f aca="false">Q49</f>
        <v>0</v>
      </c>
    </row>
    <row r="77" customFormat="false" ht="15" hidden="false" customHeight="false" outlineLevel="0" collapsed="false">
      <c r="A77" s="83" t="s">
        <v>745</v>
      </c>
      <c r="B77" s="84" t="n">
        <v>350000</v>
      </c>
      <c r="C77" s="84" t="n">
        <v>350000</v>
      </c>
      <c r="D77" s="84" t="n">
        <v>350000</v>
      </c>
      <c r="E77" s="84" t="n">
        <v>350000</v>
      </c>
      <c r="F77" s="84" t="n">
        <v>350000</v>
      </c>
      <c r="G77" s="84" t="n">
        <v>350000</v>
      </c>
      <c r="H77" s="84" t="n">
        <v>350000</v>
      </c>
      <c r="I77" s="84" t="n">
        <v>350000</v>
      </c>
      <c r="J77" s="84" t="n">
        <v>350000</v>
      </c>
      <c r="K77" s="84" t="n">
        <v>350000</v>
      </c>
      <c r="L77" s="84" t="n">
        <v>350000</v>
      </c>
      <c r="M77" s="84" t="n">
        <v>350000</v>
      </c>
      <c r="N77" s="84" t="n">
        <v>350000</v>
      </c>
      <c r="O77" s="84" t="n">
        <v>350000</v>
      </c>
      <c r="P77" s="84" t="n">
        <v>350000</v>
      </c>
      <c r="Q77" s="84" t="n">
        <v>350000</v>
      </c>
    </row>
    <row r="78" customFormat="false" ht="15" hidden="false" customHeight="false" outlineLevel="0" collapsed="false">
      <c r="A78" s="83" t="s">
        <v>746</v>
      </c>
      <c r="B78" s="89" t="n">
        <f aca="false">B70-B73-B74-B75-B76-B77</f>
        <v>3337826</v>
      </c>
      <c r="C78" s="89" t="n">
        <f aca="false">C70-C73-C74-C75-C76-C77</f>
        <v>3848061</v>
      </c>
      <c r="D78" s="89" t="n">
        <f aca="false">D70-D73-D74-D75-D76-D77</f>
        <v>4564861</v>
      </c>
      <c r="E78" s="89" t="n">
        <f aca="false">E70-E73-E74-E75-E76-E77</f>
        <v>5825406</v>
      </c>
      <c r="F78" s="89" t="n">
        <f aca="false">F70-F73-F74-F75-F76-F77</f>
        <v>7258596</v>
      </c>
      <c r="G78" s="89" t="n">
        <f aca="false">G70-G73-G74-G75-G76-G77</f>
        <v>8546118</v>
      </c>
      <c r="H78" s="89" t="n">
        <f aca="false">H70-H73-H74-H75-H76-H77</f>
        <v>10947074</v>
      </c>
      <c r="I78" s="89" t="n">
        <f aca="false">I70-I73-I74-I75-I76-I77</f>
        <v>9534761</v>
      </c>
      <c r="J78" s="89" t="n">
        <f aca="false">J70-J73-J74-J75-J76-J77</f>
        <v>8876829</v>
      </c>
      <c r="K78" s="89" t="n">
        <f aca="false">K70-K73-K74-K75-K76-K77</f>
        <v>8620791</v>
      </c>
      <c r="L78" s="89" t="n">
        <f aca="false">L70-L73-L74-L75-L76-L77</f>
        <v>8680579</v>
      </c>
      <c r="M78" s="89" t="n">
        <f aca="false">M70-M73-M74-M75-M76-M77</f>
        <v>8948232.7598442</v>
      </c>
      <c r="N78" s="89" t="n">
        <f aca="false">N70-N73-N74-N75-N76-N77</f>
        <v>9547488.63506548</v>
      </c>
      <c r="O78" s="89" t="n">
        <f aca="false">O70-O73-O74-O75-O76-O77</f>
        <v>9948726.08125184</v>
      </c>
      <c r="P78" s="89" t="n">
        <f aca="false">P70-P73-P74-P75-P76-P77</f>
        <v>10307138.2611371</v>
      </c>
      <c r="Q78" s="89" t="n">
        <f aca="false">Q70-Q73-Q74-Q75-Q76-Q77</f>
        <v>10690357.1659426</v>
      </c>
    </row>
    <row r="79" customFormat="false" ht="15" hidden="false" customHeight="false" outlineLevel="0" collapsed="false">
      <c r="A79" s="77" t="s">
        <v>747</v>
      </c>
      <c r="B79" s="86" t="n">
        <f aca="false">B73+B74+B75+B76+B77+B78</f>
        <v>6953810</v>
      </c>
      <c r="C79" s="86" t="n">
        <f aca="false">C73+C74+C75+C76+C77+C78</f>
        <v>7717392</v>
      </c>
      <c r="D79" s="86" t="n">
        <f aca="false">D73+D74+D75+D76+D77+D78</f>
        <v>8943257</v>
      </c>
      <c r="E79" s="86" t="n">
        <f aca="false">E73+E74+E75+E76+E77+E78</f>
        <v>10471104</v>
      </c>
      <c r="F79" s="86" t="n">
        <f aca="false">F73+F74+F75+F76+F77+F78</f>
        <v>12905989</v>
      </c>
      <c r="G79" s="86" t="n">
        <f aca="false">G73+G74+G75+G76+G77+G78</f>
        <v>14744408</v>
      </c>
      <c r="H79" s="86" t="n">
        <f aca="false">H73+H74+H75+H76+H77+H78</f>
        <v>18064700</v>
      </c>
      <c r="I79" s="86" t="n">
        <f aca="false">I73+I74+I75+I76+I77+I78</f>
        <v>17093164</v>
      </c>
      <c r="J79" s="86" t="n">
        <f aca="false">J73+J74+J75+J76+J77+J78</f>
        <v>16472472</v>
      </c>
      <c r="K79" s="86" t="n">
        <f aca="false">K73+K74+K75+K76+K77+K78</f>
        <v>15132525</v>
      </c>
      <c r="L79" s="86" t="n">
        <f aca="false">L73+L74+L75+L76+L77+L78</f>
        <v>15079997</v>
      </c>
      <c r="M79" s="86" t="n">
        <f aca="false">M73+M74+M75+M76+M77+M78</f>
        <v>15118458.544</v>
      </c>
      <c r="N79" s="86" t="n">
        <f aca="false">N73+N74+N75+N76+N77+N78</f>
        <v>15600114.5740291</v>
      </c>
      <c r="O79" s="86" t="n">
        <f aca="false">O73+O74+O75+O76+O77+O78</f>
        <v>16098003.0138478</v>
      </c>
      <c r="P79" s="86" t="n">
        <f aca="false">P73+P74+P75+P76+P77+P78</f>
        <v>16612658.1199484</v>
      </c>
      <c r="Q79" s="86" t="n">
        <f aca="false">Q73+Q74+Q75+Q76+Q77+Q78</f>
        <v>17144631.6846274</v>
      </c>
      <c r="R79" s="80"/>
    </row>
    <row r="81" customFormat="false" ht="15" hidden="false" customHeight="false" outlineLevel="0" collapsed="false">
      <c r="A81" s="75" t="s">
        <v>748</v>
      </c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</row>
    <row r="82" customFormat="false" ht="15" hidden="false" customHeight="false" outlineLevel="0" collapsed="false">
      <c r="A82" s="83" t="s">
        <v>733</v>
      </c>
      <c r="B82" s="9" t="n">
        <f aca="false">B64/B70</f>
        <v>0.934739373091873</v>
      </c>
      <c r="C82" s="9" t="n">
        <f aca="false">C64/C70</f>
        <v>0.939436535036707</v>
      </c>
      <c r="D82" s="9" t="n">
        <f aca="false">D64/D70</f>
        <v>0.905710302186329</v>
      </c>
      <c r="E82" s="9" t="n">
        <f aca="false">E64/E70</f>
        <v>0.897708589275782</v>
      </c>
      <c r="F82" s="9" t="n">
        <f aca="false">F64/F70</f>
        <v>0.782582411932941</v>
      </c>
      <c r="G82" s="9" t="n">
        <f aca="false">G64/G70</f>
        <v>0.786738945368305</v>
      </c>
      <c r="H82" s="9" t="n">
        <f aca="false">H64/H70</f>
        <v>0.798561227144652</v>
      </c>
      <c r="I82" s="9" t="n">
        <f aca="false">I64/I70</f>
        <v>0.798564853177563</v>
      </c>
      <c r="J82" s="9" t="n">
        <f aca="false">J64/J70</f>
        <v>0.819549124138745</v>
      </c>
      <c r="K82" s="9" t="n">
        <f aca="false">K64/K70</f>
        <v>0.905334701247809</v>
      </c>
      <c r="L82" s="9" t="n">
        <f aca="false">L64/L70</f>
        <v>0.961538652825992</v>
      </c>
      <c r="M82" s="9" t="n">
        <f aca="false">M64/M70</f>
        <v>0.981479593360322</v>
      </c>
      <c r="N82" s="9" t="n">
        <f aca="false">N64/N70</f>
        <v>0.982692434807531</v>
      </c>
      <c r="O82" s="9" t="n">
        <f aca="false">O64/O70</f>
        <v>0.983848928356123</v>
      </c>
      <c r="P82" s="9" t="n">
        <f aca="false">P64/P70</f>
        <v>0.98495123428202</v>
      </c>
      <c r="Q82" s="9" t="n">
        <f aca="false">Q64/Q70</f>
        <v>0.986001449059113</v>
      </c>
    </row>
    <row r="83" customFormat="false" ht="15" hidden="false" customHeight="false" outlineLevel="0" collapsed="false">
      <c r="A83" s="83" t="s">
        <v>734</v>
      </c>
      <c r="B83" s="9" t="n">
        <f aca="false">B65/B70</f>
        <v>0.0179757571748437</v>
      </c>
      <c r="C83" s="9" t="n">
        <f aca="false">C65/C70</f>
        <v>0.0173633787165405</v>
      </c>
      <c r="D83" s="9" t="n">
        <f aca="false">D65/D70</f>
        <v>0.0156542521365538</v>
      </c>
      <c r="E83" s="9" t="n">
        <f aca="false">E65/E70</f>
        <v>0.0148026416316751</v>
      </c>
      <c r="F83" s="9" t="n">
        <f aca="false">F65/F70</f>
        <v>0.0147218473531939</v>
      </c>
      <c r="G83" s="9" t="n">
        <f aca="false">G65/G70</f>
        <v>0.0203466968629734</v>
      </c>
      <c r="H83" s="9" t="n">
        <f aca="false">H65/H70</f>
        <v>0.0193748027921859</v>
      </c>
      <c r="I83" s="9" t="n">
        <f aca="false">I65/I70</f>
        <v>0.0234011678586832</v>
      </c>
      <c r="J83" s="9" t="n">
        <f aca="false">J65/J70</f>
        <v>0.0230687901609425</v>
      </c>
      <c r="K83" s="9" t="n">
        <f aca="false">K65/K70</f>
        <v>0</v>
      </c>
      <c r="L83" s="9" t="n">
        <f aca="false">L65/L70</f>
        <v>0</v>
      </c>
      <c r="M83" s="9" t="n">
        <f aca="false">M65/M70</f>
        <v>0</v>
      </c>
      <c r="N83" s="9" t="n">
        <f aca="false">N65/N70</f>
        <v>0</v>
      </c>
      <c r="O83" s="9" t="n">
        <f aca="false">O65/O70</f>
        <v>0</v>
      </c>
      <c r="P83" s="9" t="n">
        <f aca="false">P65/P70</f>
        <v>0</v>
      </c>
      <c r="Q83" s="9" t="n">
        <f aca="false">Q65/Q70</f>
        <v>0</v>
      </c>
    </row>
    <row r="84" customFormat="false" ht="15" hidden="false" customHeight="false" outlineLevel="0" collapsed="false">
      <c r="A84" s="83" t="s">
        <v>749</v>
      </c>
      <c r="B84" s="9" t="n">
        <f aca="false">B66/B70</f>
        <v>0</v>
      </c>
      <c r="C84" s="9" t="n">
        <f aca="false">C66/C70</f>
        <v>0</v>
      </c>
      <c r="D84" s="9" t="n">
        <f aca="false">D66/D70</f>
        <v>0.0391356303413846</v>
      </c>
      <c r="E84" s="9" t="n">
        <f aca="false">E66/E70</f>
        <v>0.0477504568763714</v>
      </c>
      <c r="F84" s="9" t="n">
        <f aca="false">F66/F70</f>
        <v>0.166589325312458</v>
      </c>
      <c r="G84" s="9" t="n">
        <f aca="false">G66/G70</f>
        <v>0.159382458759958</v>
      </c>
      <c r="H84" s="9" t="n">
        <f aca="false">H66/H70</f>
        <v>0.148142509978023</v>
      </c>
      <c r="I84" s="9" t="n">
        <f aca="false">I66/I70</f>
        <v>0.152107591081441</v>
      </c>
      <c r="J84" s="9" t="n">
        <f aca="false">J66/J70</f>
        <v>0.135377373839215</v>
      </c>
      <c r="K84" s="9" t="n">
        <f aca="false">K66/K70</f>
        <v>0.0726911073994591</v>
      </c>
      <c r="L84" s="9" t="n">
        <f aca="false">L66/L70</f>
        <v>0.0153846184452159</v>
      </c>
      <c r="M84" s="9" t="n">
        <f aca="false">M66/M70</f>
        <v>0</v>
      </c>
      <c r="N84" s="9" t="n">
        <f aca="false">N66/N70</f>
        <v>0</v>
      </c>
      <c r="O84" s="9" t="n">
        <f aca="false">O66/O70</f>
        <v>0</v>
      </c>
      <c r="P84" s="9" t="n">
        <f aca="false">P66/P70</f>
        <v>0</v>
      </c>
      <c r="Q84" s="9" t="n">
        <f aca="false">Q66/Q70</f>
        <v>0</v>
      </c>
    </row>
    <row r="85" customFormat="false" ht="15" hidden="false" customHeight="false" outlineLevel="0" collapsed="false">
      <c r="A85" s="83" t="s">
        <v>750</v>
      </c>
      <c r="B85" s="9" t="n">
        <f aca="false">B67/B70</f>
        <v>0.018523658253533</v>
      </c>
      <c r="C85" s="9" t="n">
        <f aca="false">C67/C70</f>
        <v>0.0172845956250505</v>
      </c>
      <c r="D85" s="9" t="n">
        <f aca="false">D67/D70</f>
        <v>0.0171365979977988</v>
      </c>
      <c r="E85" s="9" t="n">
        <f aca="false">E67/E70</f>
        <v>0.0206381294656227</v>
      </c>
      <c r="F85" s="9" t="n">
        <f aca="false">F67/F70</f>
        <v>0.0206097339769932</v>
      </c>
      <c r="G85" s="9" t="n">
        <f aca="false">G67/G70</f>
        <v>0.0199674344334476</v>
      </c>
      <c r="H85" s="9" t="n">
        <f aca="false">H67/H70</f>
        <v>0.0164846911379652</v>
      </c>
      <c r="I85" s="9" t="n">
        <f aca="false">I67/I70</f>
        <v>0.0114878673135061</v>
      </c>
      <c r="J85" s="9" t="n">
        <f aca="false">J67/J70</f>
        <v>0.00986324335533853</v>
      </c>
      <c r="K85" s="9" t="n">
        <f aca="false">K67/K70</f>
        <v>0.000156219798083928</v>
      </c>
      <c r="L85" s="9" t="n">
        <f aca="false">L67/L70</f>
        <v>0.000570490829673242</v>
      </c>
      <c r="M85" s="9" t="n">
        <f aca="false">M67/M70</f>
        <v>0</v>
      </c>
      <c r="N85" s="9" t="n">
        <f aca="false">N67/N70</f>
        <v>0</v>
      </c>
      <c r="O85" s="9" t="n">
        <f aca="false">O67/O70</f>
        <v>0</v>
      </c>
      <c r="P85" s="9" t="n">
        <f aca="false">P67/P70</f>
        <v>0</v>
      </c>
      <c r="Q85" s="9" t="n">
        <f aca="false">Q67/Q70</f>
        <v>0</v>
      </c>
    </row>
    <row r="86" customFormat="false" ht="15" hidden="false" customHeight="false" outlineLevel="0" collapsed="false">
      <c r="A86" s="83" t="s">
        <v>751</v>
      </c>
      <c r="B86" s="9" t="n">
        <f aca="false">B68/B70</f>
        <v>0</v>
      </c>
      <c r="C86" s="9" t="n">
        <f aca="false">C68/C70</f>
        <v>0</v>
      </c>
      <c r="D86" s="9" t="n">
        <f aca="false">D68/D70</f>
        <v>0</v>
      </c>
      <c r="E86" s="9" t="n">
        <f aca="false">E68/E70</f>
        <v>0</v>
      </c>
      <c r="F86" s="9" t="n">
        <f aca="false">F68/F70</f>
        <v>0</v>
      </c>
      <c r="G86" s="9" t="n">
        <f aca="false">G68/G70</f>
        <v>0</v>
      </c>
      <c r="H86" s="9" t="n">
        <f aca="false">H68/H70</f>
        <v>0.00636545306592415</v>
      </c>
      <c r="I86" s="9" t="n">
        <f aca="false">I68/I70</f>
        <v>0.00273793663946593</v>
      </c>
      <c r="J86" s="9" t="n">
        <f aca="false">J68/J70</f>
        <v>0</v>
      </c>
      <c r="K86" s="9" t="n">
        <f aca="false">K68/K70</f>
        <v>0.00860140657292818</v>
      </c>
      <c r="L86" s="9" t="n">
        <f aca="false">L68/L70</f>
        <v>0.00924363579117423</v>
      </c>
      <c r="M86" s="9" t="n">
        <f aca="false">M68/M70</f>
        <v>0.00859876022556497</v>
      </c>
      <c r="N86" s="9" t="n">
        <f aca="false">N68/N70</f>
        <v>0.00769225119665307</v>
      </c>
      <c r="O86" s="9" t="n">
        <f aca="false">O68/O70</f>
        <v>0.00683314569548635</v>
      </c>
      <c r="P86" s="9" t="n">
        <f aca="false">P68/P70</f>
        <v>0.00601950628719196</v>
      </c>
      <c r="Q86" s="9" t="n">
        <f aca="false">Q68/Q70</f>
        <v>0.00524945660283257</v>
      </c>
    </row>
    <row r="88" customFormat="false" ht="15" hidden="false" customHeight="false" outlineLevel="0" collapsed="false">
      <c r="A88" s="75" t="s">
        <v>752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</row>
    <row r="89" customFormat="false" ht="15" hidden="false" customHeight="false" outlineLevel="0" collapsed="false">
      <c r="A89" s="83" t="s">
        <v>753</v>
      </c>
      <c r="B89" s="9" t="n">
        <f aca="false">B73/B70</f>
        <v>0.445478521846297</v>
      </c>
      <c r="C89" s="9" t="n">
        <f aca="false">C73/C70</f>
        <v>0.452604066244141</v>
      </c>
      <c r="D89" s="9" t="n">
        <f aca="false">D73/D70</f>
        <v>0.391356303413846</v>
      </c>
      <c r="E89" s="9" t="n">
        <f aca="false">E73/E70</f>
        <v>0.343803289509874</v>
      </c>
      <c r="F89" s="9" t="n">
        <f aca="false">F73/F70</f>
        <v>0.282814435995568</v>
      </c>
      <c r="G89" s="9" t="n">
        <f aca="false">G73/G70</f>
        <v>0.284853756081628</v>
      </c>
      <c r="H89" s="9" t="n">
        <f aca="false">H73/H70</f>
        <v>0.272798884011359</v>
      </c>
      <c r="I89" s="9" t="n">
        <f aca="false">I73/I70</f>
        <v>0.310650503324019</v>
      </c>
      <c r="J89" s="9" t="n">
        <f aca="false">J73/J70</f>
        <v>0.346031852414137</v>
      </c>
      <c r="K89" s="9" t="n">
        <f aca="false">K73/K70</f>
        <v>0.361737383549672</v>
      </c>
      <c r="L89" s="9" t="n">
        <f aca="false">L73/L70</f>
        <v>0.36472155796848</v>
      </c>
      <c r="M89" s="9" t="n">
        <f aca="false">M73/M70</f>
        <v>0.362709001320525</v>
      </c>
      <c r="N89" s="9" t="n">
        <f aca="false">N73/N70</f>
        <v>0.345100093621272</v>
      </c>
      <c r="O89" s="9" t="n">
        <f aca="false">O73/O70</f>
        <v>0.328214685725612</v>
      </c>
      <c r="P89" s="9" t="n">
        <f aca="false">P73/P70</f>
        <v>0.315036941241541</v>
      </c>
      <c r="Q89" s="9" t="n">
        <f aca="false">Q73/Q70</f>
        <v>0.302345427732217</v>
      </c>
    </row>
    <row r="90" customFormat="false" ht="15" hidden="false" customHeight="false" outlineLevel="0" collapsed="false">
      <c r="A90" s="83" t="s">
        <v>742</v>
      </c>
      <c r="B90" s="9" t="n">
        <f aca="false">B74/B70</f>
        <v>0</v>
      </c>
      <c r="C90" s="9" t="n">
        <f aca="false">C74/C70</f>
        <v>0</v>
      </c>
      <c r="D90" s="9" t="n">
        <f aca="false">D74/D70</f>
        <v>0.00911312288129481</v>
      </c>
      <c r="E90" s="9" t="n">
        <f aca="false">E74/E70</f>
        <v>0.0122559187646307</v>
      </c>
      <c r="F90" s="9" t="n">
        <f aca="false">F74/F70</f>
        <v>0.0510284023951981</v>
      </c>
      <c r="G90" s="9" t="n">
        <f aca="false">G74/G70</f>
        <v>0.0814683098839913</v>
      </c>
      <c r="H90" s="9" t="n">
        <f aca="false">H74/H70</f>
        <v>0.0648798485443987</v>
      </c>
      <c r="I90" s="9" t="n">
        <f aca="false">I74/I70</f>
        <v>0.0741131951931193</v>
      </c>
      <c r="J90" s="9" t="n">
        <f aca="false">J74/J70</f>
        <v>0.057914076284361</v>
      </c>
      <c r="K90" s="9" t="n">
        <f aca="false">K74/K70</f>
        <v>0.0339382224711342</v>
      </c>
      <c r="L90" s="9" t="n">
        <f aca="false">L74/L70</f>
        <v>0.00885948452111761</v>
      </c>
      <c r="M90" s="9" t="n">
        <f aca="false">M74/M70</f>
        <v>0.00330721547137114</v>
      </c>
      <c r="N90" s="9" t="n">
        <f aca="false">N74/N70</f>
        <v>0</v>
      </c>
      <c r="O90" s="9" t="n">
        <f aca="false">O74/O70</f>
        <v>0</v>
      </c>
      <c r="P90" s="9" t="n">
        <f aca="false">P74/P70</f>
        <v>0</v>
      </c>
      <c r="Q90" s="9" t="n">
        <f aca="false">Q74/Q70</f>
        <v>0</v>
      </c>
    </row>
    <row r="91" customFormat="false" ht="15" hidden="false" customHeight="false" outlineLevel="0" collapsed="false">
      <c r="A91" s="83" t="s">
        <v>743</v>
      </c>
      <c r="B91" s="9" t="n">
        <f aca="false">B75/B70</f>
        <v>0.0241897607211011</v>
      </c>
      <c r="C91" s="9" t="n">
        <f aca="false">C75/C70</f>
        <v>0.00342188138168957</v>
      </c>
      <c r="D91" s="9" t="n">
        <f aca="false">D75/D70</f>
        <v>0.0499700500611802</v>
      </c>
      <c r="E91" s="9" t="n">
        <f aca="false">E75/E70</f>
        <v>0.0541838759313249</v>
      </c>
      <c r="F91" s="9" t="n">
        <f aca="false">F75/F70</f>
        <v>0.0483413553196117</v>
      </c>
      <c r="G91" s="9" t="n">
        <f aca="false">G75/G70</f>
        <v>0.00804053984398695</v>
      </c>
      <c r="H91" s="9" t="n">
        <f aca="false">H75/H70</f>
        <v>0.0172084784137019</v>
      </c>
      <c r="I91" s="9" t="n">
        <f aca="false">I75/I70</f>
        <v>0.0227561731695782</v>
      </c>
      <c r="J91" s="9" t="n">
        <f aca="false">J75/J70</f>
        <v>0.0245945478007187</v>
      </c>
      <c r="K91" s="9" t="n">
        <f aca="false">K75/K70</f>
        <v>0.000273913309246144</v>
      </c>
      <c r="L91" s="9" t="n">
        <f aca="false">L75/L70</f>
        <v>0.0219661847412834</v>
      </c>
      <c r="M91" s="9" t="n">
        <f aca="false">M75/M70</f>
        <v>0.0163128260356726</v>
      </c>
      <c r="N91" s="9" t="n">
        <f aca="false">N75/N70</f>
        <v>0.0194886350046248</v>
      </c>
      <c r="O91" s="9" t="n">
        <f aca="false">O75/O70</f>
        <v>0.0320335343553059</v>
      </c>
      <c r="P91" s="9" t="n">
        <f aca="false">P75/P70</f>
        <v>0.0434559510945729</v>
      </c>
      <c r="Q91" s="9" t="n">
        <f aca="false">Q75/Q70</f>
        <v>0.0537003964634815</v>
      </c>
    </row>
    <row r="92" customFormat="false" ht="15" hidden="false" customHeight="false" outlineLevel="0" collapsed="false">
      <c r="A92" s="83" t="s">
        <v>754</v>
      </c>
      <c r="B92" s="9" t="n">
        <f aca="false">B76/B70</f>
        <v>0</v>
      </c>
      <c r="C92" s="9" t="n">
        <f aca="false">C76/C70</f>
        <v>0</v>
      </c>
      <c r="D92" s="9" t="n">
        <f aca="false">D76/D70</f>
        <v>0</v>
      </c>
      <c r="E92" s="9" t="n">
        <f aca="false">E76/E70</f>
        <v>0</v>
      </c>
      <c r="F92" s="9" t="n">
        <f aca="false">F76/F70</f>
        <v>0.028275864794244</v>
      </c>
      <c r="G92" s="9" t="n">
        <f aca="false">G76/G70</f>
        <v>0.0222820068462566</v>
      </c>
      <c r="H92" s="9" t="n">
        <f aca="false">H76/H70</f>
        <v>0.0197454150913107</v>
      </c>
      <c r="I92" s="9" t="n">
        <f aca="false">I76/I70</f>
        <v>0.0141927498033717</v>
      </c>
      <c r="J92" s="9" t="n">
        <f aca="false">J76/J70</f>
        <v>0.0113232549431561</v>
      </c>
      <c r="K92" s="9" t="n">
        <f aca="false">K76/K70</f>
        <v>0.0112352697253102</v>
      </c>
      <c r="L92" s="9" t="n">
        <f aca="false">L76/L70</f>
        <v>0.0056078923623128</v>
      </c>
      <c r="M92" s="9" t="n">
        <f aca="false">M76/M70</f>
        <v>0.00264577237709691</v>
      </c>
      <c r="N92" s="9" t="n">
        <f aca="false">N76/N70</f>
        <v>0.000961531399581633</v>
      </c>
      <c r="O92" s="9" t="n">
        <f aca="false">O76/O70</f>
        <v>0</v>
      </c>
      <c r="P92" s="9" t="n">
        <f aca="false">P76/P70</f>
        <v>0</v>
      </c>
      <c r="Q92" s="9" t="n">
        <f aca="false">Q76/Q70</f>
        <v>0</v>
      </c>
    </row>
    <row r="93" customFormat="false" ht="15" hidden="false" customHeight="false" outlineLevel="0" collapsed="false">
      <c r="A93" s="83" t="s">
        <v>755</v>
      </c>
      <c r="B93" s="9" t="n">
        <f aca="false">B78/B70</f>
        <v>0.479999597343039</v>
      </c>
      <c r="C93" s="9" t="n">
        <f aca="false">C78/C70</f>
        <v>0.498621943786191</v>
      </c>
      <c r="D93" s="9" t="n">
        <f aca="false">D78/D70</f>
        <v>0.510424893302295</v>
      </c>
      <c r="E93" s="9" t="n">
        <f aca="false">E78/E70</f>
        <v>0.55633159598071</v>
      </c>
      <c r="F93" s="9" t="n">
        <f aca="false">F78/F70</f>
        <v>0.562420749002653</v>
      </c>
      <c r="G93" s="9" t="n">
        <f aca="false">G78/G70</f>
        <v>0.579617574337335</v>
      </c>
      <c r="H93" s="9" t="n">
        <f aca="false">H78/H70</f>
        <v>0.605992571147044</v>
      </c>
      <c r="I93" s="9" t="n">
        <f aca="false">I78/I70</f>
        <v>0.557811356633564</v>
      </c>
      <c r="J93" s="9" t="n">
        <f aca="false">J78/J70</f>
        <v>0.538888698672549</v>
      </c>
      <c r="K93" s="9" t="n">
        <f aca="false">K78/K70</f>
        <v>0.569686222226628</v>
      </c>
      <c r="L93" s="9" t="n">
        <f aca="false">L78/L70</f>
        <v>0.575635326717903</v>
      </c>
      <c r="M93" s="9" t="n">
        <f aca="false">M78/M70</f>
        <v>0.591874676495736</v>
      </c>
      <c r="N93" s="9" t="n">
        <f aca="false">N78/N70</f>
        <v>0.612014007317617</v>
      </c>
      <c r="O93" s="9" t="n">
        <f aca="false">O78/O70</f>
        <v>0.618009952706171</v>
      </c>
      <c r="P93" s="9" t="n">
        <f aca="false">P78/P70</f>
        <v>0.620438835658714</v>
      </c>
      <c r="Q93" s="9" t="n">
        <f aca="false">Q78/Q70</f>
        <v>0.623539622348842</v>
      </c>
    </row>
    <row r="96" customFormat="false" ht="15" hidden="false" customHeight="false" outlineLevel="0" collapsed="false">
      <c r="A96" s="75" t="s">
        <v>756</v>
      </c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</row>
    <row r="97" customFormat="false" ht="15" hidden="false" customHeight="false" outlineLevel="0" collapsed="false">
      <c r="A97" s="83" t="s">
        <v>757</v>
      </c>
      <c r="B97" s="84" t="n">
        <v>933386</v>
      </c>
      <c r="C97" s="84" t="n">
        <v>1321075</v>
      </c>
      <c r="D97" s="84" t="n">
        <v>1792405</v>
      </c>
      <c r="E97" s="84" t="n">
        <v>2274557</v>
      </c>
      <c r="F97" s="84" t="n">
        <v>3601957</v>
      </c>
      <c r="G97" s="84" t="n">
        <v>4287355</v>
      </c>
      <c r="H97" s="84" t="n">
        <v>5127330</v>
      </c>
      <c r="I97" s="84" t="n">
        <v>5666891</v>
      </c>
      <c r="J97" s="84" t="n">
        <v>5909256</v>
      </c>
      <c r="K97" s="84" t="n">
        <v>6241894</v>
      </c>
      <c r="L97" s="84" t="n">
        <v>6337318</v>
      </c>
      <c r="M97" s="84" t="n">
        <v>6337318</v>
      </c>
      <c r="N97" s="84" t="n">
        <v>6337318</v>
      </c>
      <c r="O97" s="84" t="n">
        <v>6337318</v>
      </c>
      <c r="P97" s="84" t="n">
        <v>6337318</v>
      </c>
      <c r="Q97" s="84" t="n">
        <v>6337318</v>
      </c>
    </row>
    <row r="98" customFormat="false" ht="15" hidden="false" customHeight="false" outlineLevel="0" collapsed="false">
      <c r="A98" s="83" t="s">
        <v>758</v>
      </c>
      <c r="B98" s="84" t="n">
        <v>24004</v>
      </c>
      <c r="C98" s="84" t="n">
        <v>55325</v>
      </c>
      <c r="D98" s="84" t="n">
        <v>72059</v>
      </c>
      <c r="E98" s="84" t="n">
        <v>153931</v>
      </c>
      <c r="F98" s="84" t="n">
        <v>153931</v>
      </c>
      <c r="G98" s="84" t="n">
        <v>187243</v>
      </c>
      <c r="H98" s="84" t="n">
        <v>216437</v>
      </c>
      <c r="I98" s="84" t="n">
        <v>523386</v>
      </c>
      <c r="J98" s="84" t="n">
        <v>897062</v>
      </c>
      <c r="K98" s="84" t="n">
        <v>3032481</v>
      </c>
      <c r="L98" s="84" t="n">
        <v>4140821</v>
      </c>
      <c r="M98" s="85" t="n">
        <f aca="false">L98+Assumptions!B33</f>
        <v>4640821</v>
      </c>
      <c r="N98" s="85" t="n">
        <f aca="false">M98+Assumptions!C33</f>
        <v>4840821</v>
      </c>
      <c r="O98" s="85" t="n">
        <f aca="false">N98+Assumptions!D33</f>
        <v>4840821</v>
      </c>
      <c r="P98" s="85" t="n">
        <f aca="false">O98+Assumptions!E33</f>
        <v>4840821</v>
      </c>
      <c r="Q98" s="85" t="n">
        <f aca="false">P98+Assumptions!F33</f>
        <v>4840821</v>
      </c>
    </row>
    <row r="99" customFormat="false" ht="15" hidden="false" customHeight="false" outlineLevel="0" collapsed="false">
      <c r="A99" s="83" t="s">
        <v>759</v>
      </c>
      <c r="B99" s="89" t="n">
        <f aca="false">B97-B98</f>
        <v>909382</v>
      </c>
      <c r="C99" s="89" t="n">
        <f aca="false">C97-C98</f>
        <v>1265750</v>
      </c>
      <c r="D99" s="89" t="n">
        <f aca="false">D97-D98</f>
        <v>1720346</v>
      </c>
      <c r="E99" s="89" t="n">
        <f aca="false">E97-E98</f>
        <v>2120626</v>
      </c>
      <c r="F99" s="89" t="n">
        <f aca="false">F97-F98</f>
        <v>3448026</v>
      </c>
      <c r="G99" s="89" t="n">
        <f aca="false">G97-G98</f>
        <v>4100112</v>
      </c>
      <c r="H99" s="89" t="n">
        <f aca="false">H97-H98</f>
        <v>4910893</v>
      </c>
      <c r="I99" s="89" t="n">
        <f aca="false">I97-I98</f>
        <v>5143505</v>
      </c>
      <c r="J99" s="89" t="n">
        <f aca="false">J97-J98</f>
        <v>5012194</v>
      </c>
      <c r="K99" s="89" t="n">
        <f aca="false">K97-K98</f>
        <v>3209413</v>
      </c>
      <c r="L99" s="89" t="n">
        <f aca="false">L97-L98</f>
        <v>2196497</v>
      </c>
      <c r="M99" s="89" t="n">
        <f aca="false">M97-M98</f>
        <v>1696497</v>
      </c>
      <c r="N99" s="89" t="n">
        <f aca="false">N97-N98</f>
        <v>1496497</v>
      </c>
      <c r="O99" s="89" t="n">
        <f aca="false">O97-O98</f>
        <v>1496497</v>
      </c>
      <c r="P99" s="89" t="n">
        <f aca="false">P97-P98</f>
        <v>1496497</v>
      </c>
      <c r="Q99" s="89" t="n">
        <f aca="false">Q97-Q98</f>
        <v>1496497</v>
      </c>
    </row>
    <row r="100" customFormat="false" ht="15" hidden="false" customHeight="false" outlineLevel="0" collapsed="false">
      <c r="A100" s="83" t="s">
        <v>760</v>
      </c>
      <c r="B100" s="84" t="n">
        <v>401154</v>
      </c>
      <c r="C100" s="84" t="n">
        <v>563068</v>
      </c>
      <c r="D100" s="84" t="n">
        <v>713335</v>
      </c>
      <c r="E100" s="84" t="n">
        <v>799024</v>
      </c>
      <c r="F100" s="84" t="n">
        <v>1875131</v>
      </c>
      <c r="G100" s="84" t="n">
        <v>1877607</v>
      </c>
      <c r="H100" s="84" t="n">
        <v>1880745</v>
      </c>
      <c r="I100" s="84" t="n">
        <v>1884549</v>
      </c>
      <c r="J100" s="84" t="n">
        <v>1887293</v>
      </c>
      <c r="K100" s="84" t="n">
        <v>1890197</v>
      </c>
      <c r="L100" s="84" t="n">
        <v>1891881</v>
      </c>
      <c r="M100" s="84" t="n">
        <v>1891881</v>
      </c>
      <c r="N100" s="84" t="n">
        <v>1891881</v>
      </c>
      <c r="O100" s="84" t="n">
        <v>1891881</v>
      </c>
      <c r="P100" s="84" t="n">
        <v>1891881</v>
      </c>
      <c r="Q100" s="84" t="n">
        <v>1891881</v>
      </c>
    </row>
    <row r="101" customFormat="false" ht="15" hidden="false" customHeight="false" outlineLevel="0" collapsed="false">
      <c r="A101" s="83" t="s">
        <v>761</v>
      </c>
      <c r="B101" s="84" t="n">
        <v>0</v>
      </c>
      <c r="C101" s="84" t="n">
        <v>0</v>
      </c>
      <c r="D101" s="84" t="n">
        <v>0</v>
      </c>
      <c r="E101" s="84" t="n">
        <v>0</v>
      </c>
      <c r="F101" s="84" t="n">
        <v>0</v>
      </c>
      <c r="G101" s="84" t="n">
        <v>0</v>
      </c>
      <c r="H101" s="84" t="n">
        <v>0</v>
      </c>
      <c r="I101" s="84" t="n">
        <v>0</v>
      </c>
      <c r="J101" s="84" t="n">
        <v>100907</v>
      </c>
      <c r="K101" s="84" t="n">
        <v>428056</v>
      </c>
      <c r="L101" s="84" t="n">
        <v>728702</v>
      </c>
      <c r="M101" s="85" t="n">
        <f aca="false">L101+Assumptions!B98</f>
        <v>813327.2158442</v>
      </c>
      <c r="N101" s="85" t="n">
        <f aca="false">M101+Assumptions!C98</f>
        <v>813327.2158442</v>
      </c>
      <c r="O101" s="85" t="n">
        <f aca="false">N101+Assumptions!D98</f>
        <v>813327.2158442</v>
      </c>
      <c r="P101" s="85" t="n">
        <f aca="false">O101+Assumptions!E98</f>
        <v>813327.2158442</v>
      </c>
      <c r="Q101" s="85" t="n">
        <f aca="false">P101+Assumptions!F98</f>
        <v>813327.2158442</v>
      </c>
    </row>
    <row r="102" customFormat="false" ht="15" hidden="false" customHeight="false" outlineLevel="0" collapsed="false">
      <c r="A102" s="83" t="s">
        <v>762</v>
      </c>
      <c r="B102" s="89" t="n">
        <f aca="false">B100-B101</f>
        <v>401154</v>
      </c>
      <c r="C102" s="89" t="n">
        <f aca="false">C100-C101</f>
        <v>563068</v>
      </c>
      <c r="D102" s="89" t="n">
        <f aca="false">D100-D101</f>
        <v>713335</v>
      </c>
      <c r="E102" s="89" t="n">
        <f aca="false">E100-E101</f>
        <v>799024</v>
      </c>
      <c r="F102" s="89" t="n">
        <f aca="false">F100-F101</f>
        <v>1875131</v>
      </c>
      <c r="G102" s="89" t="n">
        <f aca="false">G100-G101</f>
        <v>1877607</v>
      </c>
      <c r="H102" s="89" t="n">
        <f aca="false">H100-H101</f>
        <v>1880745</v>
      </c>
      <c r="I102" s="89" t="n">
        <f aca="false">I100-I101</f>
        <v>1884549</v>
      </c>
      <c r="J102" s="89" t="n">
        <f aca="false">J100-J101</f>
        <v>1786386</v>
      </c>
      <c r="K102" s="89" t="n">
        <f aca="false">K100-K101</f>
        <v>1462141</v>
      </c>
      <c r="L102" s="89" t="n">
        <f aca="false">L100-L101</f>
        <v>1163179</v>
      </c>
      <c r="M102" s="89" t="n">
        <f aca="false">M100-M101</f>
        <v>1078553.7841558</v>
      </c>
      <c r="N102" s="89" t="n">
        <f aca="false">N100-N101</f>
        <v>1078553.7841558</v>
      </c>
      <c r="O102" s="89" t="n">
        <f aca="false">O100-O101</f>
        <v>1078553.7841558</v>
      </c>
      <c r="P102" s="89" t="n">
        <f aca="false">P100-P101</f>
        <v>1078553.7841558</v>
      </c>
      <c r="Q102" s="89" t="n">
        <f aca="false">Q100-Q101</f>
        <v>1078553.7841558</v>
      </c>
    </row>
    <row r="104" customFormat="false" ht="15" hidden="false" customHeight="false" outlineLevel="0" collapsed="false">
      <c r="A104" s="73" t="s">
        <v>763</v>
      </c>
    </row>
    <row r="105" customFormat="false" ht="15" hidden="false" customHeight="false" outlineLevel="0" collapsed="false">
      <c r="A105" s="74" t="s">
        <v>764</v>
      </c>
    </row>
    <row r="106" customFormat="false" ht="15" hidden="false" customHeight="false" outlineLevel="0" collapsed="false">
      <c r="A106" s="74" t="s">
        <v>765</v>
      </c>
    </row>
    <row r="107" customFormat="false" ht="15" hidden="false" customHeight="false" outlineLevel="0" collapsed="false">
      <c r="A107" s="74" t="s">
        <v>766</v>
      </c>
    </row>
    <row r="108" customFormat="false" ht="15" hidden="false" customHeight="false" outlineLevel="0" collapsed="false">
      <c r="A108" s="74" t="s">
        <v>767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I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9" min="2" style="1" width="14"/>
  </cols>
  <sheetData>
    <row r="1" customFormat="false" ht="1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161</v>
      </c>
    </row>
    <row r="3" customFormat="false" ht="15" hidden="false" customHeight="true" outlineLevel="0" collapsed="false">
      <c r="A3" s="4" t="s">
        <v>162</v>
      </c>
    </row>
    <row r="5" customFormat="false" ht="23.25" hidden="false" customHeight="true" outlineLevel="0" collapsed="false">
      <c r="B5" s="28" t="s">
        <v>163</v>
      </c>
      <c r="C5" s="28" t="s">
        <v>3</v>
      </c>
      <c r="D5" s="28" t="s">
        <v>4</v>
      </c>
      <c r="E5" s="28" t="s">
        <v>5</v>
      </c>
      <c r="F5" s="28" t="s">
        <v>6</v>
      </c>
      <c r="G5" s="28" t="s">
        <v>7</v>
      </c>
      <c r="H5" s="28" t="s">
        <v>164</v>
      </c>
    </row>
    <row r="7" customFormat="false" ht="15" hidden="false" customHeight="true" outlineLevel="0" collapsed="false">
      <c r="A7" s="6" t="s">
        <v>165</v>
      </c>
      <c r="B7" s="7"/>
      <c r="C7" s="7"/>
      <c r="D7" s="7"/>
      <c r="E7" s="7"/>
      <c r="F7" s="7"/>
      <c r="G7" s="7"/>
      <c r="H7" s="7"/>
      <c r="I7" s="7"/>
    </row>
    <row r="8" customFormat="false" ht="15" hidden="false" customHeight="true" outlineLevel="0" collapsed="false">
      <c r="A8" s="8" t="s">
        <v>166</v>
      </c>
      <c r="B8" s="26" t="n">
        <v>48</v>
      </c>
      <c r="I8" s="4" t="s">
        <v>167</v>
      </c>
    </row>
    <row r="9" customFormat="false" ht="15" hidden="false" customHeight="true" outlineLevel="0" collapsed="false">
      <c r="A9" s="8" t="s">
        <v>168</v>
      </c>
      <c r="B9" s="29" t="n">
        <v>157694</v>
      </c>
      <c r="C9" s="30" t="n">
        <f aca="false">Assumptions!B79</f>
        <v>155930.974669913</v>
      </c>
      <c r="D9" s="30" t="n">
        <f aca="false">Assumptions!C79</f>
        <v>155930.974669913</v>
      </c>
      <c r="E9" s="30" t="n">
        <f aca="false">Assumptions!D79</f>
        <v>155930.974669913</v>
      </c>
      <c r="F9" s="30" t="n">
        <f aca="false">Assumptions!E79</f>
        <v>155930.974669913</v>
      </c>
      <c r="G9" s="30" t="n">
        <f aca="false">Assumptions!F79</f>
        <v>155930.974669913</v>
      </c>
      <c r="H9" s="31" t="n">
        <f aca="false">G9</f>
        <v>155930.974669913</v>
      </c>
    </row>
    <row r="10" customFormat="false" ht="15" hidden="false" customHeight="true" outlineLevel="0" collapsed="false">
      <c r="A10" s="8" t="s">
        <v>131</v>
      </c>
      <c r="B10" s="29" t="n">
        <v>159935</v>
      </c>
      <c r="C10" s="30" t="n">
        <f aca="false">Assumptions!B80</f>
        <v>156812.487334956</v>
      </c>
      <c r="D10" s="30" t="n">
        <f aca="false">Assumptions!C80</f>
        <v>155930.974669913</v>
      </c>
      <c r="E10" s="30" t="n">
        <f aca="false">Assumptions!D80</f>
        <v>155930.974669913</v>
      </c>
      <c r="F10" s="30" t="n">
        <f aca="false">Assumptions!E80</f>
        <v>155930.974669913</v>
      </c>
      <c r="G10" s="30" t="n">
        <f aca="false">Assumptions!F80</f>
        <v>155930.974669913</v>
      </c>
    </row>
    <row r="11" customFormat="false" ht="15" hidden="false" customHeight="true" outlineLevel="0" collapsed="false">
      <c r="A11" s="8" t="s">
        <v>169</v>
      </c>
      <c r="B11" s="32" t="n">
        <f aca="false">B8*B9</f>
        <v>7569312</v>
      </c>
    </row>
    <row r="13" customFormat="false" ht="15" hidden="false" customHeight="true" outlineLevel="0" collapsed="false">
      <c r="A13" s="6" t="s">
        <v>170</v>
      </c>
      <c r="B13" s="7"/>
      <c r="C13" s="7"/>
      <c r="D13" s="7"/>
      <c r="E13" s="7"/>
      <c r="F13" s="7"/>
      <c r="G13" s="7"/>
      <c r="H13" s="7"/>
      <c r="I13" s="7"/>
    </row>
    <row r="14" customFormat="false" ht="15" hidden="false" customHeight="true" outlineLevel="0" collapsed="false">
      <c r="A14" s="8" t="s">
        <v>171</v>
      </c>
    </row>
    <row r="15" customFormat="false" ht="15" hidden="false" customHeight="true" outlineLevel="0" collapsed="false">
      <c r="A15" s="8" t="s">
        <v>172</v>
      </c>
      <c r="B15" s="18" t="n">
        <v>0.042</v>
      </c>
      <c r="C15" s="33" t="n">
        <f aca="false">Assumptions!B83</f>
        <v>0.0425</v>
      </c>
      <c r="D15" s="33" t="n">
        <f aca="false">Assumptions!C83</f>
        <v>0.0425</v>
      </c>
      <c r="E15" s="33" t="n">
        <f aca="false">Assumptions!D83</f>
        <v>0.0425</v>
      </c>
      <c r="F15" s="33" t="n">
        <f aca="false">Assumptions!E83</f>
        <v>0.0425</v>
      </c>
      <c r="G15" s="33" t="n">
        <f aca="false">Assumptions!F83</f>
        <v>0.0425</v>
      </c>
      <c r="H15" s="34" t="n">
        <f aca="false">G15</f>
        <v>0.0425</v>
      </c>
    </row>
    <row r="17" customFormat="false" ht="15" hidden="false" customHeight="true" outlineLevel="0" collapsed="false">
      <c r="A17" s="8" t="s">
        <v>173</v>
      </c>
      <c r="B17" s="35" t="n">
        <v>653711</v>
      </c>
      <c r="C17" s="27" t="n">
        <f aca="false">IS!M11</f>
        <v>644384.48812</v>
      </c>
      <c r="D17" s="27" t="n">
        <f aca="false">IS!N11</f>
        <v>634529.869396235</v>
      </c>
      <c r="E17" s="27" t="n">
        <f aca="false">IS!O11</f>
        <v>641615.128088529</v>
      </c>
      <c r="F17" s="27" t="n">
        <f aca="false">IS!P11</f>
        <v>663912.970097808</v>
      </c>
      <c r="G17" s="27" t="n">
        <f aca="false">IS!Q11</f>
        <v>686946.846596666</v>
      </c>
      <c r="H17" s="32" t="n">
        <f aca="false">G17*1.035</f>
        <v>710989.98622755</v>
      </c>
    </row>
    <row r="18" customFormat="false" ht="15" hidden="false" customHeight="true" outlineLevel="0" collapsed="false">
      <c r="A18" s="8" t="s">
        <v>174</v>
      </c>
      <c r="B18" s="32" t="n">
        <f aca="false">B17/B15</f>
        <v>15564547.6190476</v>
      </c>
      <c r="C18" s="32" t="n">
        <f aca="false">C17/C15</f>
        <v>15161987.9557647</v>
      </c>
      <c r="D18" s="32" t="n">
        <f aca="false">D17/D15</f>
        <v>14930114.5740291</v>
      </c>
      <c r="E18" s="32" t="n">
        <f aca="false">E17/E15</f>
        <v>15096826.5432595</v>
      </c>
      <c r="F18" s="32" t="n">
        <f aca="false">F17/F15</f>
        <v>15621481.6493602</v>
      </c>
      <c r="G18" s="32" t="n">
        <f aca="false">G17/G15</f>
        <v>16163455.2140392</v>
      </c>
      <c r="H18" s="32" t="n">
        <f aca="false">H17/H15</f>
        <v>16729176.1465306</v>
      </c>
      <c r="I18" s="4" t="s">
        <v>175</v>
      </c>
    </row>
    <row r="20" customFormat="false" ht="15" hidden="false" customHeight="true" outlineLevel="0" collapsed="false">
      <c r="A20" s="8" t="s">
        <v>176</v>
      </c>
      <c r="B20" s="35" t="n">
        <v>268458</v>
      </c>
      <c r="C20" s="35" t="n">
        <v>250000</v>
      </c>
      <c r="D20" s="35" t="n">
        <v>250000</v>
      </c>
      <c r="E20" s="35" t="n">
        <v>250000</v>
      </c>
      <c r="F20" s="35" t="n">
        <v>250000</v>
      </c>
      <c r="G20" s="35" t="n">
        <v>250000</v>
      </c>
      <c r="H20" s="35" t="n">
        <v>250000</v>
      </c>
    </row>
    <row r="21" customFormat="false" ht="15" hidden="false" customHeight="true" outlineLevel="0" collapsed="false">
      <c r="A21" s="8" t="s">
        <v>177</v>
      </c>
      <c r="B21" s="35" t="n">
        <v>-6371167</v>
      </c>
      <c r="C21" s="27" t="n">
        <f aca="false">-Assumptions!B54-Assumptions!B55-Assumptions!B25-500000</f>
        <v>-6270225.7841558</v>
      </c>
      <c r="D21" s="27" t="n">
        <f aca="false">-Assumptions!C54-Assumptions!C55-Assumptions!C25-500000</f>
        <v>-6202625.93896358</v>
      </c>
      <c r="E21" s="27" t="n">
        <f aca="false">-Assumptions!D54-Assumptions!D55-Assumptions!D25-500000</f>
        <v>-6299276.93259591</v>
      </c>
      <c r="F21" s="27" t="n">
        <f aca="false">-Assumptions!E54-Assumptions!E55-Assumptions!E25-500000</f>
        <v>-6455519.85881134</v>
      </c>
      <c r="G21" s="27" t="n">
        <f aca="false">-Assumptions!F54-Assumptions!F55-Assumptions!F25-500000</f>
        <v>-6604274.51868486</v>
      </c>
      <c r="H21" s="32" t="n">
        <f aca="false">G21</f>
        <v>-6604274.51868486</v>
      </c>
    </row>
    <row r="22" customFormat="false" ht="15" hidden="false" customHeight="true" outlineLevel="0" collapsed="false">
      <c r="A22" s="8" t="s">
        <v>178</v>
      </c>
      <c r="B22" s="36" t="n">
        <f aca="false">B18+B20+B21</f>
        <v>9461838.61904762</v>
      </c>
      <c r="C22" s="36" t="n">
        <f aca="false">C18+C20+C21</f>
        <v>9141762.17160891</v>
      </c>
      <c r="D22" s="36" t="n">
        <f aca="false">D18+D20+D21</f>
        <v>8977488.63506548</v>
      </c>
      <c r="E22" s="36" t="n">
        <f aca="false">E18+E20+E21</f>
        <v>9047549.6106636</v>
      </c>
      <c r="F22" s="36" t="n">
        <f aca="false">F18+F20+F21</f>
        <v>9415961.79054884</v>
      </c>
      <c r="G22" s="36" t="n">
        <f aca="false">G18+G20+G21</f>
        <v>9809180.69535434</v>
      </c>
      <c r="H22" s="36" t="n">
        <f aca="false">H18+H20+H21</f>
        <v>10374901.6278457</v>
      </c>
    </row>
    <row r="23" customFormat="false" ht="15" hidden="false" customHeight="true" outlineLevel="0" collapsed="false">
      <c r="A23" s="8" t="s">
        <v>179</v>
      </c>
      <c r="B23" s="37" t="n">
        <f aca="false">B22/B9</f>
        <v>60.0012595219071</v>
      </c>
      <c r="C23" s="37" t="n">
        <f aca="false">C22/C9</f>
        <v>58.6269802453357</v>
      </c>
      <c r="D23" s="37" t="n">
        <f aca="false">D22/D9</f>
        <v>57.5734786117368</v>
      </c>
      <c r="E23" s="37" t="n">
        <f aca="false">E22/E9</f>
        <v>58.0227862348465</v>
      </c>
      <c r="F23" s="37" t="n">
        <f aca="false">F22/F9</f>
        <v>60.385448179756</v>
      </c>
      <c r="G23" s="37" t="n">
        <f aca="false">G22/G9</f>
        <v>62.9071979837183</v>
      </c>
      <c r="H23" s="37" t="n">
        <f aca="false">H22/H9</f>
        <v>66.535219508556</v>
      </c>
    </row>
    <row r="24" customFormat="false" ht="15" hidden="false" customHeight="true" outlineLevel="0" collapsed="false">
      <c r="A24" s="8" t="s">
        <v>180</v>
      </c>
      <c r="B24" s="9" t="n">
        <f aca="false">B8/B23-1</f>
        <v>-0.200016793272903</v>
      </c>
    </row>
    <row r="26" customFormat="false" ht="15" hidden="false" customHeight="true" outlineLevel="0" collapsed="false">
      <c r="A26" s="8" t="s">
        <v>181</v>
      </c>
      <c r="C26" s="9" t="n">
        <f aca="false">C17/B17-1</f>
        <v>-0.0142670260711538</v>
      </c>
      <c r="D26" s="9" t="n">
        <f aca="false">D17/C17-1</f>
        <v>-0.0152930725451131</v>
      </c>
      <c r="E26" s="9" t="n">
        <f aca="false">E17/D17-1</f>
        <v>0.0111661547139394</v>
      </c>
      <c r="F26" s="9" t="n">
        <f aca="false">F17/E17-1</f>
        <v>0.0347526749808829</v>
      </c>
      <c r="G26" s="9" t="n">
        <f aca="false">G17/F17-1</f>
        <v>0.034694120368616</v>
      </c>
    </row>
    <row r="27" customFormat="false" ht="15" hidden="false" customHeight="true" outlineLevel="0" collapsed="false">
      <c r="A27" s="8" t="s">
        <v>182</v>
      </c>
      <c r="C27" s="9" t="n">
        <f aca="false">(C23/B23)^(1/1)-1</f>
        <v>-0.0229041738043784</v>
      </c>
      <c r="D27" s="9" t="n">
        <f aca="false">(D23/B23)^(1/2)-1</f>
        <v>-0.0204399792694858</v>
      </c>
      <c r="E27" s="9" t="n">
        <f aca="false">(E23/B23)^(1/3)-1</f>
        <v>-0.0111143588563334</v>
      </c>
      <c r="F27" s="9" t="n">
        <f aca="false">(F23/B23)^(1/4)-1</f>
        <v>0.00159692315195259</v>
      </c>
      <c r="G27" s="9" t="n">
        <f aca="false">(G23/B23)^(1/5)-1</f>
        <v>0.00950388549727887</v>
      </c>
    </row>
    <row r="29" customFormat="false" ht="15" hidden="false" customHeight="true" outlineLevel="0" collapsed="false">
      <c r="A29" s="6" t="s">
        <v>183</v>
      </c>
      <c r="B29" s="7"/>
      <c r="C29" s="7"/>
      <c r="D29" s="7"/>
      <c r="E29" s="7"/>
      <c r="F29" s="7"/>
      <c r="G29" s="7"/>
      <c r="H29" s="7"/>
      <c r="I29" s="7"/>
    </row>
    <row r="30" customFormat="false" ht="15" hidden="false" customHeight="true" outlineLevel="0" collapsed="false">
      <c r="A30" s="8" t="s">
        <v>184</v>
      </c>
    </row>
    <row r="31" customFormat="false" ht="15" hidden="false" customHeight="true" outlineLevel="0" collapsed="false">
      <c r="A31" s="8" t="s">
        <v>185</v>
      </c>
      <c r="B31" s="38" t="n">
        <v>2.541</v>
      </c>
      <c r="C31" s="39" t="n">
        <f aca="false">(IS!M33-IS!M18-IS!M16+IS!M30)/Assumptions!B80</f>
        <v>2.47276756002302</v>
      </c>
      <c r="D31" s="39" t="n">
        <f aca="false">(IS!N33-IS!N18-IS!N16+IS!N30)/Assumptions!C80</f>
        <v>2.51466654071868</v>
      </c>
      <c r="E31" s="39" t="n">
        <f aca="false">(IS!O33-IS!O18-IS!O16+IS!O30)/Assumptions!D80</f>
        <v>2.58039537488486</v>
      </c>
      <c r="F31" s="39" t="n">
        <f aca="false">(IS!P33-IS!P18-IS!P16+IS!P30)/Assumptions!E80</f>
        <v>2.64393674271043</v>
      </c>
      <c r="G31" s="39" t="n">
        <f aca="false">(IS!Q33-IS!Q18-IS!Q16+IS!Q30)/Assumptions!F80</f>
        <v>2.72081862180652</v>
      </c>
    </row>
    <row r="32" customFormat="false" ht="15" hidden="false" customHeight="true" outlineLevel="0" collapsed="false">
      <c r="A32" s="8" t="s">
        <v>186</v>
      </c>
      <c r="B32" s="38" t="n">
        <v>-0.392</v>
      </c>
      <c r="C32" s="39" t="n">
        <f aca="false">-Assumptions!B69/Assumptions!B80</f>
        <v>-0.403029127807933</v>
      </c>
      <c r="D32" s="39" t="n">
        <f aca="false">-Assumptions!C69/Assumptions!C80</f>
        <v>-0.400978703123982</v>
      </c>
      <c r="E32" s="39" t="n">
        <f aca="false">-Assumptions!D69/Assumptions!D80</f>
        <v>-0.400978703123982</v>
      </c>
      <c r="F32" s="39" t="n">
        <f aca="false">-Assumptions!E69/Assumptions!E80</f>
        <v>-0.400978703123982</v>
      </c>
      <c r="G32" s="39" t="n">
        <f aca="false">-Assumptions!F69/Assumptions!F80</f>
        <v>-0.400978703123982</v>
      </c>
    </row>
    <row r="33" customFormat="false" ht="15" hidden="false" customHeight="true" outlineLevel="0" collapsed="false">
      <c r="A33" s="8" t="s">
        <v>187</v>
      </c>
      <c r="C33" s="40" t="n">
        <f aca="false">C31+C32</f>
        <v>2.06973843221508</v>
      </c>
      <c r="D33" s="40" t="n">
        <f aca="false">D31+D32</f>
        <v>2.11368783759469</v>
      </c>
      <c r="E33" s="40" t="n">
        <f aca="false">E31+E32</f>
        <v>2.17941667176088</v>
      </c>
      <c r="F33" s="40" t="n">
        <f aca="false">F31+F32</f>
        <v>2.24295803958645</v>
      </c>
      <c r="G33" s="40" t="n">
        <f aca="false">G31+G32</f>
        <v>2.31983991868253</v>
      </c>
    </row>
    <row r="35" customFormat="false" ht="15" hidden="false" customHeight="true" outlineLevel="0" collapsed="false">
      <c r="A35" s="8" t="s">
        <v>188</v>
      </c>
      <c r="B35" s="38" t="n">
        <v>0.972</v>
      </c>
      <c r="C35" s="39" t="n">
        <f aca="false">'CFS-FCF'!M15</f>
        <v>1.18970647592561</v>
      </c>
      <c r="D35" s="39" t="n">
        <f aca="false">'CFS-FCF'!N15</f>
        <v>1.19982194083072</v>
      </c>
      <c r="E35" s="39" t="n">
        <f aca="false">'CFS-FCF'!O15</f>
        <v>1.2366918519412</v>
      </c>
      <c r="F35" s="39" t="n">
        <f aca="false">'CFS-FCF'!P15</f>
        <v>1.27137429671106</v>
      </c>
      <c r="G35" s="39" t="n">
        <f aca="false">'CFS-FCF'!Q15</f>
        <v>1.31939725275145</v>
      </c>
    </row>
    <row r="36" customFormat="false" ht="15" hidden="false" customHeight="true" outlineLevel="0" collapsed="false">
      <c r="A36" s="8" t="s">
        <v>189</v>
      </c>
      <c r="B36" s="38" t="n">
        <v>1.546</v>
      </c>
      <c r="C36" s="39" t="n">
        <f aca="false">Assumptions!B74</f>
        <v>1.6</v>
      </c>
      <c r="D36" s="39" t="n">
        <f aca="false">Assumptions!C74</f>
        <v>1.6</v>
      </c>
      <c r="E36" s="39" t="n">
        <f aca="false">Assumptions!D74</f>
        <v>1.6</v>
      </c>
      <c r="F36" s="39" t="n">
        <f aca="false">Assumptions!E74</f>
        <v>1.6</v>
      </c>
      <c r="G36" s="39" t="n">
        <f aca="false">Assumptions!F74</f>
        <v>1.6</v>
      </c>
    </row>
    <row r="38" customFormat="false" ht="15" hidden="false" customHeight="true" outlineLevel="0" collapsed="false">
      <c r="A38" s="8" t="s">
        <v>190</v>
      </c>
      <c r="C38" s="9" t="n">
        <f aca="false">C36/C33</f>
        <v>0.773044542777148</v>
      </c>
      <c r="D38" s="9" t="n">
        <f aca="false">D36/D33</f>
        <v>0.756970812596787</v>
      </c>
      <c r="E38" s="9" t="n">
        <f aca="false">E36/E33</f>
        <v>0.734141396976314</v>
      </c>
      <c r="F38" s="9" t="n">
        <f aca="false">F36/F33</f>
        <v>0.713343705839011</v>
      </c>
      <c r="G38" s="9" t="n">
        <f aca="false">G36/G33</f>
        <v>0.689702762296056</v>
      </c>
    </row>
    <row r="39" customFormat="false" ht="15" hidden="false" customHeight="true" outlineLevel="0" collapsed="false">
      <c r="A39" s="8" t="s">
        <v>191</v>
      </c>
      <c r="C39" s="9" t="n">
        <f aca="false">C36/C35</f>
        <v>1.34486953914845</v>
      </c>
      <c r="D39" s="9" t="n">
        <f aca="false">D36/D35</f>
        <v>1.33353120621566</v>
      </c>
      <c r="E39" s="9" t="n">
        <f aca="false">E36/E35</f>
        <v>1.29377419078853</v>
      </c>
      <c r="F39" s="9" t="n">
        <f aca="false">F36/F35</f>
        <v>1.25848068829066</v>
      </c>
      <c r="G39" s="9" t="n">
        <f aca="false">G36/G35</f>
        <v>1.21267495188685</v>
      </c>
    </row>
    <row r="40" customFormat="false" ht="15" hidden="false" customHeight="true" outlineLevel="0" collapsed="false">
      <c r="A40" s="8" t="s">
        <v>192</v>
      </c>
      <c r="C40" s="40" t="n">
        <f aca="false">C33-C36</f>
        <v>0.469738432215084</v>
      </c>
      <c r="D40" s="40" t="n">
        <f aca="false">D33-D36</f>
        <v>0.513687837594693</v>
      </c>
      <c r="E40" s="40" t="n">
        <f aca="false">E33-E36</f>
        <v>0.579416671760879</v>
      </c>
      <c r="F40" s="40" t="n">
        <f aca="false">F33-F36</f>
        <v>0.642958039586447</v>
      </c>
      <c r="G40" s="40" t="n">
        <f aca="false">G33-G36</f>
        <v>0.719839918682533</v>
      </c>
    </row>
    <row r="41" customFormat="false" ht="15" hidden="false" customHeight="true" outlineLevel="0" collapsed="false">
      <c r="A41" s="8" t="s">
        <v>193</v>
      </c>
      <c r="C41" s="40" t="n">
        <f aca="false">C35-C36</f>
        <v>-0.410293524074391</v>
      </c>
      <c r="D41" s="40" t="n">
        <f aca="false">D35-D36</f>
        <v>-0.40017805916928</v>
      </c>
      <c r="E41" s="40" t="n">
        <f aca="false">E35-E36</f>
        <v>-0.363308148058799</v>
      </c>
      <c r="F41" s="40" t="n">
        <f aca="false">F35-F36</f>
        <v>-0.328625703288936</v>
      </c>
      <c r="G41" s="40" t="n">
        <f aca="false">G35-G36</f>
        <v>-0.280602747248554</v>
      </c>
    </row>
    <row r="43" customFormat="false" ht="15" hidden="false" customHeight="true" outlineLevel="0" collapsed="false">
      <c r="A43" s="6" t="s">
        <v>194</v>
      </c>
      <c r="B43" s="7"/>
      <c r="C43" s="7"/>
      <c r="D43" s="7"/>
      <c r="E43" s="7"/>
      <c r="F43" s="7"/>
      <c r="G43" s="7"/>
      <c r="H43" s="7"/>
      <c r="I43" s="7"/>
    </row>
    <row r="44" customFormat="false" ht="15" hidden="false" customHeight="true" outlineLevel="0" collapsed="false">
      <c r="A44" s="8" t="s">
        <v>195</v>
      </c>
    </row>
    <row r="45" customFormat="false" ht="15" hidden="false" customHeight="true" outlineLevel="0" collapsed="false">
      <c r="A45" s="8" t="s">
        <v>196</v>
      </c>
      <c r="H45" s="18" t="n">
        <v>0.0425</v>
      </c>
    </row>
    <row r="46" customFormat="false" ht="15" hidden="false" customHeight="true" outlineLevel="0" collapsed="false">
      <c r="A46" s="8" t="s">
        <v>197</v>
      </c>
      <c r="I46" s="4" t="s">
        <v>198</v>
      </c>
    </row>
    <row r="48" customFormat="false" ht="15" hidden="false" customHeight="true" outlineLevel="0" collapsed="false">
      <c r="A48" s="8" t="s">
        <v>199</v>
      </c>
      <c r="H48" s="37" t="n">
        <f aca="false">H23</f>
        <v>66.535219508556</v>
      </c>
      <c r="I48" s="4" t="s">
        <v>200</v>
      </c>
    </row>
    <row r="50" customFormat="false" ht="15" hidden="false" customHeight="true" outlineLevel="0" collapsed="false">
      <c r="A50" s="8" t="s">
        <v>201</v>
      </c>
    </row>
    <row r="51" customFormat="false" ht="15" hidden="false" customHeight="true" outlineLevel="0" collapsed="false">
      <c r="A51" s="8" t="s">
        <v>202</v>
      </c>
      <c r="B51" s="41" t="n">
        <v>0</v>
      </c>
      <c r="C51" s="41" t="n">
        <v>1</v>
      </c>
      <c r="D51" s="41" t="n">
        <v>2</v>
      </c>
      <c r="E51" s="41" t="n">
        <v>3</v>
      </c>
      <c r="F51" s="41" t="n">
        <v>4</v>
      </c>
      <c r="G51" s="41" t="n">
        <v>5</v>
      </c>
      <c r="H51" s="41" t="n">
        <v>6</v>
      </c>
    </row>
    <row r="52" customFormat="false" ht="15" hidden="false" customHeight="true" outlineLevel="0" collapsed="false">
      <c r="A52" s="8" t="s">
        <v>203</v>
      </c>
      <c r="B52" s="37" t="n">
        <f aca="false">-B8</f>
        <v>-48</v>
      </c>
    </row>
    <row r="53" customFormat="false" ht="15" hidden="false" customHeight="true" outlineLevel="0" collapsed="false">
      <c r="A53" s="8" t="s">
        <v>204</v>
      </c>
      <c r="C53" s="37" t="n">
        <f aca="false">C36</f>
        <v>1.6</v>
      </c>
      <c r="D53" s="37" t="n">
        <f aca="false">D36</f>
        <v>1.6</v>
      </c>
      <c r="E53" s="37" t="n">
        <f aca="false">E36</f>
        <v>1.6</v>
      </c>
      <c r="F53" s="37" t="n">
        <f aca="false">F36</f>
        <v>1.6</v>
      </c>
      <c r="G53" s="37" t="n">
        <f aca="false">G36</f>
        <v>1.6</v>
      </c>
    </row>
    <row r="54" customFormat="false" ht="15" hidden="false" customHeight="true" outlineLevel="0" collapsed="false">
      <c r="A54" s="8" t="s">
        <v>205</v>
      </c>
      <c r="G54" s="37" t="n">
        <f aca="false">H48</f>
        <v>66.535219508556</v>
      </c>
    </row>
    <row r="55" customFormat="false" ht="15" hidden="false" customHeight="true" outlineLevel="0" collapsed="false">
      <c r="A55" s="8" t="s">
        <v>206</v>
      </c>
      <c r="B55" s="37" t="n">
        <f aca="false">B52</f>
        <v>-48</v>
      </c>
      <c r="C55" s="37" t="n">
        <f aca="false">C53</f>
        <v>1.6</v>
      </c>
      <c r="D55" s="37" t="n">
        <f aca="false">D53</f>
        <v>1.6</v>
      </c>
      <c r="E55" s="37" t="n">
        <f aca="false">E53</f>
        <v>1.6</v>
      </c>
      <c r="F55" s="37" t="n">
        <f aca="false">F53</f>
        <v>1.6</v>
      </c>
      <c r="G55" s="37" t="n">
        <f aca="false">G53+G54</f>
        <v>68.135219508556</v>
      </c>
    </row>
    <row r="57" customFormat="false" ht="15" hidden="false" customHeight="true" outlineLevel="0" collapsed="false">
      <c r="A57" s="8" t="s">
        <v>207</v>
      </c>
      <c r="B57" s="9" t="n">
        <f aca="false">IRR(B55:G55)</f>
        <v>0.0969669245049536</v>
      </c>
    </row>
    <row r="59" customFormat="false" ht="15" hidden="false" customHeight="true" outlineLevel="0" collapsed="false">
      <c r="A59" s="6" t="s">
        <v>208</v>
      </c>
      <c r="B59" s="7"/>
      <c r="C59" s="7"/>
      <c r="D59" s="7"/>
      <c r="E59" s="7"/>
      <c r="F59" s="7"/>
      <c r="G59" s="7"/>
      <c r="H59" s="7"/>
      <c r="I59" s="7"/>
    </row>
    <row r="60" customFormat="false" ht="15" hidden="false" customHeight="true" outlineLevel="0" collapsed="false">
      <c r="A60" s="8" t="s">
        <v>209</v>
      </c>
      <c r="B60" s="37" t="n">
        <f aca="false">B8</f>
        <v>48</v>
      </c>
    </row>
    <row r="61" customFormat="false" ht="15" hidden="false" customHeight="true" outlineLevel="0" collapsed="false">
      <c r="A61" s="8" t="s">
        <v>210</v>
      </c>
      <c r="B61" s="37" t="n">
        <f aca="false">H48</f>
        <v>66.535219508556</v>
      </c>
    </row>
    <row r="62" customFormat="false" ht="15" hidden="false" customHeight="true" outlineLevel="0" collapsed="false">
      <c r="A62" s="8" t="s">
        <v>211</v>
      </c>
      <c r="B62" s="37" t="n">
        <f aca="false">H48-B8</f>
        <v>18.535219508556</v>
      </c>
    </row>
    <row r="63" customFormat="false" ht="15" hidden="false" customHeight="true" outlineLevel="0" collapsed="false">
      <c r="A63" s="8" t="s">
        <v>212</v>
      </c>
      <c r="B63" s="9" t="n">
        <f aca="false">(H48-B8)/B8</f>
        <v>0.38615040642825</v>
      </c>
    </row>
    <row r="64" customFormat="false" ht="15" hidden="false" customHeight="true" outlineLevel="0" collapsed="false">
      <c r="A64" s="8" t="s">
        <v>213</v>
      </c>
      <c r="B64" s="37" t="n">
        <f aca="false">SUM(C53:G53)</f>
        <v>8</v>
      </c>
    </row>
    <row r="65" customFormat="false" ht="15" hidden="false" customHeight="true" outlineLevel="0" collapsed="false">
      <c r="A65" s="8" t="s">
        <v>214</v>
      </c>
      <c r="B65" s="9" t="n">
        <f aca="false">C53/B8</f>
        <v>0.0333333333333333</v>
      </c>
    </row>
    <row r="66" customFormat="false" ht="15" hidden="false" customHeight="true" outlineLevel="0" collapsed="false">
      <c r="A66" s="8" t="s">
        <v>215</v>
      </c>
      <c r="B66" s="9" t="n">
        <f aca="false">(H48-B8+SUM(C53:G53))/B8</f>
        <v>0.552817073094917</v>
      </c>
    </row>
    <row r="67" customFormat="false" ht="15" hidden="false" customHeight="true" outlineLevel="0" collapsed="false">
      <c r="A67" s="8" t="s">
        <v>216</v>
      </c>
      <c r="B67" s="9" t="n">
        <f aca="false">B57</f>
        <v>0.0969669245049536</v>
      </c>
    </row>
    <row r="69" customFormat="false" ht="15" hidden="false" customHeight="true" outlineLevel="0" collapsed="false">
      <c r="A69" s="6" t="s">
        <v>217</v>
      </c>
      <c r="B69" s="7"/>
      <c r="C69" s="7"/>
      <c r="D69" s="7"/>
      <c r="E69" s="7"/>
      <c r="F69" s="7"/>
      <c r="G69" s="7"/>
      <c r="H69" s="7"/>
      <c r="I69" s="7"/>
    </row>
    <row r="71" customFormat="false" ht="15" hidden="false" customHeight="true" outlineLevel="0" collapsed="false">
      <c r="B71" s="3" t="s">
        <v>218</v>
      </c>
      <c r="C71" s="42" t="n">
        <v>40</v>
      </c>
      <c r="D71" s="42" t="n">
        <v>44</v>
      </c>
      <c r="E71" s="42" t="n">
        <v>48</v>
      </c>
      <c r="F71" s="42" t="n">
        <v>52</v>
      </c>
      <c r="G71" s="42" t="n">
        <v>56</v>
      </c>
    </row>
    <row r="72" customFormat="false" ht="15" hidden="false" customHeight="true" outlineLevel="0" collapsed="false">
      <c r="B72" s="8" t="s">
        <v>219</v>
      </c>
      <c r="C72" s="43" t="n">
        <v>3.82632408198981</v>
      </c>
      <c r="D72" s="43" t="n">
        <v>3.73519582320928</v>
      </c>
      <c r="E72" s="43" t="n">
        <v>3.65350550174193</v>
      </c>
      <c r="F72" s="43" t="n">
        <v>3.57960278128865</v>
      </c>
      <c r="G72" s="43" t="n">
        <v>3.51222631298629</v>
      </c>
    </row>
    <row r="73" customFormat="false" ht="15" hidden="false" customHeight="true" outlineLevel="0" collapsed="false">
      <c r="B73" s="8" t="s">
        <v>220</v>
      </c>
      <c r="C73" s="43" t="n">
        <v>3.87610309513173</v>
      </c>
      <c r="D73" s="43" t="n">
        <v>3.78403493370182</v>
      </c>
      <c r="E73" s="43" t="n">
        <v>3.70150205307002</v>
      </c>
      <c r="F73" s="43" t="n">
        <v>3.62683709526381</v>
      </c>
      <c r="G73" s="43" t="n">
        <v>3.55876570178773</v>
      </c>
    </row>
    <row r="74" customFormat="false" ht="15" hidden="false" customHeight="true" outlineLevel="0" collapsed="false">
      <c r="B74" s="8" t="s">
        <v>221</v>
      </c>
      <c r="C74" s="43" t="n">
        <v>3.92912938249368</v>
      </c>
      <c r="D74" s="43" t="n">
        <v>3.83606000499232</v>
      </c>
      <c r="E74" s="43" t="n">
        <v>3.7526296018595</v>
      </c>
      <c r="F74" s="43" t="n">
        <v>3.67715268306082</v>
      </c>
      <c r="G74" s="43" t="n">
        <v>3.60834103180077</v>
      </c>
    </row>
    <row r="75" customFormat="false" ht="15" hidden="false" customHeight="true" outlineLevel="0" collapsed="false">
      <c r="B75" s="8" t="s">
        <v>222</v>
      </c>
      <c r="C75" s="43" t="n">
        <v>3.98581378552629</v>
      </c>
      <c r="D75" s="43" t="n">
        <v>3.89167412122683</v>
      </c>
      <c r="E75" s="43" t="n">
        <v>3.80728427835741</v>
      </c>
      <c r="F75" s="43" t="n">
        <v>3.73093938394826</v>
      </c>
      <c r="G75" s="43" t="n">
        <v>3.66133640686357</v>
      </c>
    </row>
    <row r="76" customFormat="false" ht="15" hidden="false" customHeight="true" outlineLevel="0" collapsed="false">
      <c r="B76" s="8" t="s">
        <v>223</v>
      </c>
      <c r="C76" s="43" t="n">
        <v>4.04664738579641</v>
      </c>
      <c r="D76" s="43" t="n">
        <v>3.95135909161346</v>
      </c>
      <c r="E76" s="43" t="n">
        <v>3.86593957972935</v>
      </c>
      <c r="F76" s="43" t="n">
        <v>3.78866317544259</v>
      </c>
      <c r="G76" s="43" t="n">
        <v>3.71821094889378</v>
      </c>
    </row>
    <row r="77" customFormat="false" ht="15" hidden="false" customHeight="true" outlineLevel="0" collapsed="false">
      <c r="B77" s="8" t="s">
        <v>224</v>
      </c>
      <c r="C77" s="43" t="n">
        <v>4.11222341694642</v>
      </c>
      <c r="D77" s="43" t="n">
        <v>4.01569694865105</v>
      </c>
      <c r="E77" s="43" t="n">
        <v>3.92916749740643</v>
      </c>
      <c r="F77" s="43" t="n">
        <v>3.85088696512988</v>
      </c>
      <c r="G77" s="43" t="n">
        <v>3.77951928381485</v>
      </c>
    </row>
    <row r="80" customFormat="false" ht="15" hidden="false" customHeight="true" outlineLevel="0" collapsed="false">
      <c r="A80" s="6" t="s">
        <v>225</v>
      </c>
      <c r="B80" s="7"/>
      <c r="C80" s="7"/>
      <c r="D80" s="7"/>
      <c r="E80" s="7"/>
      <c r="F80" s="7"/>
      <c r="G80" s="7"/>
      <c r="H80" s="7"/>
      <c r="I80" s="7"/>
    </row>
    <row r="81" customFormat="false" ht="15" hidden="false" customHeight="true" outlineLevel="0" collapsed="false">
      <c r="A81" s="8" t="s">
        <v>226</v>
      </c>
      <c r="B81" s="44" t="n">
        <v>0</v>
      </c>
      <c r="C81" s="45" t="n">
        <f aca="false">(Assumptions!B54+Assumptions!B55)/(IS!M11+IS!M15)</f>
        <v>9.72998729130967</v>
      </c>
      <c r="D81" s="45" t="n">
        <f aca="false">(Assumptions!C54+Assumptions!C55)/(IS!N11+IS!N15)</f>
        <v>9.8314459094552</v>
      </c>
      <c r="E81" s="45" t="n">
        <f aca="false">(Assumptions!D54+Assumptions!D55)/(IS!O11+IS!O15)</f>
        <v>9.90246300623688</v>
      </c>
      <c r="F81" s="45" t="n">
        <f aca="false">(Assumptions!E54+Assumptions!E55)/(IS!P11+IS!P15)</f>
        <v>9.82517929820973</v>
      </c>
      <c r="G81" s="45" t="n">
        <f aca="false">(Assumptions!F54+Assumptions!F55)/(IS!Q11+IS!Q15)</f>
        <v>9.71337143083951</v>
      </c>
    </row>
    <row r="82" customFormat="false" ht="15" hidden="false" customHeight="true" outlineLevel="0" collapsed="false">
      <c r="A82" s="8" t="s">
        <v>227</v>
      </c>
      <c r="C82" s="46" t="n">
        <f aca="false">(IS!M11+IS!M15)/(-IS!M17)</f>
        <v>3.16347961942914</v>
      </c>
      <c r="D82" s="46" t="n">
        <f aca="false">(IS!N11+IS!N15)/(-IS!N17)</f>
        <v>3.1891730659322</v>
      </c>
      <c r="E82" s="46" t="n">
        <f aca="false">(IS!O11+IS!O15)/(-IS!O17)</f>
        <v>3.19539353633864</v>
      </c>
      <c r="F82" s="46" t="n">
        <f aca="false">(IS!P11+IS!P15)/(-IS!P17)</f>
        <v>3.12645877570437</v>
      </c>
      <c r="G82" s="46" t="n">
        <f aca="false">(IS!Q11+IS!Q15)/(-IS!Q17)</f>
        <v>3.07786741425112</v>
      </c>
    </row>
    <row r="83" customFormat="false" ht="15" hidden="false" customHeight="true" outlineLevel="0" collapsed="false">
      <c r="A83" s="8" t="s">
        <v>228</v>
      </c>
      <c r="C83" s="9" t="n">
        <f aca="false">(Assumptions!B54+Assumptions!B55)/C18</f>
        <v>0.37793367208006</v>
      </c>
      <c r="D83" s="9" t="n">
        <f aca="false">(Assumptions!C54+Assumptions!C55)/D18</f>
        <v>0.380949919088847</v>
      </c>
      <c r="E83" s="9" t="n">
        <f aca="false">(Assumptions!D54+Assumptions!D55)/E18</f>
        <v>0.384138806654382</v>
      </c>
      <c r="F83" s="9" t="n">
        <f aca="false">(Assumptions!E54+Assumptions!E55)/F18</f>
        <v>0.381239116268799</v>
      </c>
      <c r="G83" s="9" t="n">
        <f aca="false">(Assumptions!F54+Assumptions!F55)/G18</f>
        <v>0.377659011507814</v>
      </c>
    </row>
    <row r="84" customFormat="false" ht="15" hidden="false" customHeight="true" outlineLevel="0" collapsed="false">
      <c r="A84" s="8" t="s">
        <v>185</v>
      </c>
      <c r="C84" s="40" t="n">
        <f aca="false">C31</f>
        <v>2.47276756002302</v>
      </c>
      <c r="D84" s="40" t="n">
        <f aca="false">D31</f>
        <v>2.51466654071868</v>
      </c>
      <c r="E84" s="40" t="n">
        <f aca="false">E31</f>
        <v>2.58039537488486</v>
      </c>
      <c r="F84" s="40" t="n">
        <f aca="false">F31</f>
        <v>2.64393674271043</v>
      </c>
      <c r="G84" s="40" t="n">
        <f aca="false">G31</f>
        <v>2.72081862180652</v>
      </c>
    </row>
    <row r="85" customFormat="false" ht="15" hidden="false" customHeight="true" outlineLevel="0" collapsed="false">
      <c r="A85" s="8" t="s">
        <v>187</v>
      </c>
      <c r="C85" s="40" t="n">
        <f aca="false">C33</f>
        <v>2.06973843221508</v>
      </c>
      <c r="D85" s="40" t="n">
        <f aca="false">D33</f>
        <v>2.11368783759469</v>
      </c>
      <c r="E85" s="40" t="n">
        <f aca="false">E33</f>
        <v>2.17941667176088</v>
      </c>
      <c r="F85" s="40" t="n">
        <f aca="false">F33</f>
        <v>2.24295803958645</v>
      </c>
      <c r="G85" s="40" t="n">
        <f aca="false">G33</f>
        <v>2.31983991868253</v>
      </c>
    </row>
    <row r="86" customFormat="false" ht="15" hidden="false" customHeight="true" outlineLevel="0" collapsed="false">
      <c r="A86" s="8" t="s">
        <v>229</v>
      </c>
      <c r="C86" s="37" t="n">
        <f aca="false">C23</f>
        <v>58.6269802453357</v>
      </c>
      <c r="D86" s="37" t="n">
        <f aca="false">D23</f>
        <v>57.5734786117368</v>
      </c>
      <c r="E86" s="37" t="n">
        <f aca="false">E23</f>
        <v>58.0227862348465</v>
      </c>
      <c r="F86" s="37" t="n">
        <f aca="false">F23</f>
        <v>60.385448179756</v>
      </c>
      <c r="G86" s="37" t="n">
        <f aca="false">G23</f>
        <v>62.9071979837183</v>
      </c>
    </row>
    <row r="87" customFormat="false" ht="15" hidden="false" customHeight="true" outlineLevel="0" collapsed="false">
      <c r="A87" s="8" t="s">
        <v>230</v>
      </c>
      <c r="C87" s="34" t="n">
        <f aca="false">IS!M11/(Assumptions!B84*Assumptions!B79+Assumptions!B54+Assumptions!B55-250000)</f>
        <v>0.0497021853965281</v>
      </c>
      <c r="D87" s="34" t="n">
        <f aca="false">IS!N11/(Assumptions!C84*Assumptions!C79+Assumptions!C54+Assumptions!C55-250000)</f>
        <v>0.0491034293157907</v>
      </c>
      <c r="E87" s="34" t="n">
        <f aca="false">IS!O11/(Assumptions!D84*Assumptions!D79+Assumptions!D54+Assumptions!D55-250000)</f>
        <v>0.0492264012722318</v>
      </c>
      <c r="F87" s="34" t="n">
        <f aca="false">IS!P11/(Assumptions!E84*Assumptions!E79+Assumptions!E54+Assumptions!E55-250000)</f>
        <v>0.050333780816982</v>
      </c>
      <c r="G87" s="34" t="n">
        <f aca="false">IS!Q11/(Assumptions!F84*Assumptions!F79+Assumptions!F54+Assumptions!F55-250000)</f>
        <v>0.0514992757682245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A1:Q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5"/>
    <col collapsed="false" customWidth="true" hidden="false" outlineLevel="0" max="12" min="2" style="1" width="14"/>
  </cols>
  <sheetData>
    <row r="1" customFormat="false" ht="1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231</v>
      </c>
    </row>
    <row r="3" customFormat="false" ht="15" hidden="false" customHeight="true" outlineLevel="0" collapsed="false">
      <c r="A3" s="4" t="s">
        <v>232</v>
      </c>
    </row>
    <row r="5" customFormat="false" ht="15" hidden="false" customHeight="true" outlineLevel="0" collapsed="false">
      <c r="B5" s="5" t="s">
        <v>233</v>
      </c>
      <c r="C5" s="5" t="s">
        <v>234</v>
      </c>
      <c r="D5" s="5" t="s">
        <v>235</v>
      </c>
      <c r="E5" s="5" t="s">
        <v>236</v>
      </c>
      <c r="F5" s="5" t="s">
        <v>237</v>
      </c>
      <c r="G5" s="5" t="s">
        <v>238</v>
      </c>
      <c r="H5" s="5" t="s">
        <v>239</v>
      </c>
      <c r="I5" s="5" t="s">
        <v>240</v>
      </c>
      <c r="J5" s="5" t="s">
        <v>241</v>
      </c>
      <c r="K5" s="5" t="s">
        <v>242</v>
      </c>
      <c r="L5" s="5" t="s">
        <v>243</v>
      </c>
      <c r="M5" s="5" t="s">
        <v>3</v>
      </c>
      <c r="N5" s="5" t="s">
        <v>4</v>
      </c>
      <c r="O5" s="5" t="s">
        <v>5</v>
      </c>
      <c r="P5" s="5" t="s">
        <v>6</v>
      </c>
      <c r="Q5" s="5" t="s">
        <v>7</v>
      </c>
    </row>
    <row r="7" customFormat="false" ht="15" hidden="false" customHeight="true" outlineLevel="0" collapsed="false">
      <c r="A7" s="6" t="s">
        <v>244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Format="false" ht="15" hidden="false" customHeight="true" outlineLevel="0" collapsed="false">
      <c r="A8" s="8" t="s">
        <v>245</v>
      </c>
      <c r="B8" s="35" t="n">
        <v>533798</v>
      </c>
      <c r="C8" s="35" t="n">
        <v>596831</v>
      </c>
      <c r="D8" s="35" t="n">
        <v>638842</v>
      </c>
      <c r="E8" s="35" t="n">
        <v>688585</v>
      </c>
      <c r="F8" s="35" t="n">
        <v>780780</v>
      </c>
      <c r="G8" s="35" t="n">
        <v>882643</v>
      </c>
      <c r="H8" s="35" t="n">
        <v>933137</v>
      </c>
      <c r="I8" s="35" t="n">
        <v>1007268</v>
      </c>
      <c r="J8" s="35" t="n">
        <v>1065317</v>
      </c>
      <c r="K8" s="35" t="n">
        <v>1112742</v>
      </c>
      <c r="L8" s="35" t="n">
        <v>1003364</v>
      </c>
      <c r="M8" s="27" t="n">
        <f aca="false">Ops!M8+Ops!M9+Ops!M10</f>
        <v>1008367.37512</v>
      </c>
      <c r="N8" s="27" t="n">
        <f aca="false">Ops!N8+Ops!N9+Ops!N10</f>
        <v>1018476.19642884</v>
      </c>
      <c r="O8" s="27" t="n">
        <f aca="false">Ops!O8+Ops!O9+Ops!O10</f>
        <v>1036579.2556667</v>
      </c>
      <c r="P8" s="27" t="n">
        <f aca="false">Ops!P8+Ops!P9+Ops!P10</f>
        <v>1069708.32867781</v>
      </c>
      <c r="Q8" s="27" t="n">
        <f aca="false">Ops!Q8+Ops!Q9+Ops!Q10</f>
        <v>1103896.20686235</v>
      </c>
    </row>
    <row r="9" customFormat="false" ht="15" hidden="false" customHeight="true" outlineLevel="0" collapsed="false">
      <c r="A9" s="8" t="s">
        <v>246</v>
      </c>
      <c r="B9" s="35" t="n">
        <v>-209184</v>
      </c>
      <c r="C9" s="35" t="n">
        <v>-229884</v>
      </c>
      <c r="D9" s="35" t="n">
        <v>-245584</v>
      </c>
      <c r="E9" s="35" t="n">
        <v>-249529</v>
      </c>
      <c r="F9" s="35" t="n">
        <v>-272630</v>
      </c>
      <c r="G9" s="35" t="n">
        <v>-304472</v>
      </c>
      <c r="H9" s="35" t="n">
        <v>-323144</v>
      </c>
      <c r="I9" s="35" t="n">
        <v>-356859</v>
      </c>
      <c r="J9" s="35" t="n">
        <v>-372531</v>
      </c>
      <c r="K9" s="35" t="n">
        <v>-382088</v>
      </c>
      <c r="L9" s="35" t="n">
        <v>-349653</v>
      </c>
      <c r="M9" s="27" t="n">
        <f aca="false">Ops!M22-M8</f>
        <v>-363982.887</v>
      </c>
      <c r="N9" s="27" t="n">
        <f aca="false">Ops!N22-N8</f>
        <v>-383946.3270326</v>
      </c>
      <c r="O9" s="27" t="n">
        <f aca="false">Ops!O22-O8</f>
        <v>-394964.127578171</v>
      </c>
      <c r="P9" s="27" t="n">
        <f aca="false">Ops!P22-P8</f>
        <v>-405795.358580001</v>
      </c>
      <c r="Q9" s="27" t="n">
        <f aca="false">Ops!Q22-Q8</f>
        <v>-416949.360265685</v>
      </c>
    </row>
    <row r="11" customFormat="false" ht="15" hidden="false" customHeight="true" outlineLevel="0" collapsed="false">
      <c r="A11" s="47" t="s">
        <v>247</v>
      </c>
      <c r="B11" s="48" t="n">
        <f aca="false">B8+B9</f>
        <v>324614</v>
      </c>
      <c r="C11" s="48" t="n">
        <f aca="false">C8+C9</f>
        <v>366947</v>
      </c>
      <c r="D11" s="48" t="n">
        <f aca="false">D8+D9</f>
        <v>393258</v>
      </c>
      <c r="E11" s="48" t="n">
        <f aca="false">E8+E9</f>
        <v>439056</v>
      </c>
      <c r="F11" s="48" t="n">
        <f aca="false">F8+F9</f>
        <v>508150</v>
      </c>
      <c r="G11" s="48" t="n">
        <f aca="false">G8+G9</f>
        <v>578171</v>
      </c>
      <c r="H11" s="48" t="n">
        <f aca="false">H8+H9</f>
        <v>609993</v>
      </c>
      <c r="I11" s="48" t="n">
        <f aca="false">I8+I9</f>
        <v>650409</v>
      </c>
      <c r="J11" s="48" t="n">
        <f aca="false">J8+J9</f>
        <v>692786</v>
      </c>
      <c r="K11" s="48" t="n">
        <f aca="false">K8+K9</f>
        <v>730654</v>
      </c>
      <c r="L11" s="48" t="n">
        <f aca="false">L8+L9</f>
        <v>653711</v>
      </c>
      <c r="M11" s="49" t="n">
        <f aca="false">M8+M9</f>
        <v>644384.48812</v>
      </c>
      <c r="N11" s="17" t="n">
        <f aca="false">N8+N9</f>
        <v>634529.869396235</v>
      </c>
      <c r="O11" s="17" t="n">
        <f aca="false">O8+O9</f>
        <v>641615.128088529</v>
      </c>
      <c r="P11" s="17" t="n">
        <f aca="false">P8+P9</f>
        <v>663912.970097808</v>
      </c>
      <c r="Q11" s="17" t="n">
        <f aca="false">Q8+Q9</f>
        <v>686946.846596666</v>
      </c>
    </row>
    <row r="13" customFormat="false" ht="15" hidden="false" customHeight="true" outlineLevel="0" collapsed="false">
      <c r="A13" s="6" t="s">
        <v>248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customFormat="false" ht="15" hidden="false" customHeight="true" outlineLevel="0" collapsed="false">
      <c r="A14" s="8" t="s">
        <v>249</v>
      </c>
      <c r="B14" s="35" t="n">
        <v>12340</v>
      </c>
      <c r="C14" s="35" t="n">
        <v>17236</v>
      </c>
      <c r="D14" s="35" t="n">
        <v>22921</v>
      </c>
      <c r="E14" s="35" t="n">
        <v>37226</v>
      </c>
      <c r="F14" s="35" t="n">
        <v>34904</v>
      </c>
      <c r="G14" s="35" t="n">
        <v>29990</v>
      </c>
      <c r="H14" s="35" t="n">
        <v>31713</v>
      </c>
      <c r="I14" s="35" t="n">
        <v>16521</v>
      </c>
      <c r="J14" s="35" t="n">
        <v>13644</v>
      </c>
      <c r="K14" s="35" t="n">
        <v>7384</v>
      </c>
      <c r="L14" s="35" t="n">
        <v>13902</v>
      </c>
      <c r="M14" s="50" t="n">
        <f aca="false">Assumptions!B41</f>
        <v>10000</v>
      </c>
      <c r="N14" s="50" t="n">
        <f aca="false">Assumptions!C41</f>
        <v>10000</v>
      </c>
      <c r="O14" s="50" t="n">
        <f aca="false">Assumptions!D41</f>
        <v>10000</v>
      </c>
      <c r="P14" s="50" t="n">
        <f aca="false">Assumptions!E41</f>
        <v>10000</v>
      </c>
      <c r="Q14" s="50" t="n">
        <f aca="false">Assumptions!F41</f>
        <v>10000</v>
      </c>
    </row>
    <row r="15" customFormat="false" ht="15" hidden="false" customHeight="true" outlineLevel="0" collapsed="false">
      <c r="A15" s="8" t="s">
        <v>250</v>
      </c>
      <c r="B15" s="35" t="n">
        <v>-22707</v>
      </c>
      <c r="C15" s="35" t="n">
        <v>-32129</v>
      </c>
      <c r="D15" s="35" t="n">
        <v>-32569</v>
      </c>
      <c r="E15" s="35" t="n">
        <v>-39515</v>
      </c>
      <c r="F15" s="35" t="n">
        <v>-46244</v>
      </c>
      <c r="G15" s="35" t="n">
        <v>-43268</v>
      </c>
      <c r="H15" s="35" t="n">
        <v>-51366</v>
      </c>
      <c r="I15" s="35" t="n">
        <v>-57965</v>
      </c>
      <c r="J15" s="35" t="n">
        <v>-62373</v>
      </c>
      <c r="K15" s="35" t="n">
        <v>-58624</v>
      </c>
      <c r="L15" s="35" t="n">
        <v>-54989</v>
      </c>
      <c r="M15" s="50" t="n">
        <f aca="false">-Assumptions!B40*M8</f>
        <v>-55460.2056316</v>
      </c>
      <c r="N15" s="50" t="n">
        <f aca="false">-Assumptions!C40*N8</f>
        <v>-56016.1908035859</v>
      </c>
      <c r="O15" s="50" t="n">
        <f aca="false">-Assumptions!D40*O8</f>
        <v>-55975.2798060018</v>
      </c>
      <c r="P15" s="50" t="n">
        <f aca="false">-Assumptions!E40*P8</f>
        <v>-57764.2497486017</v>
      </c>
      <c r="Q15" s="50" t="n">
        <f aca="false">-Assumptions!F40*Q8</f>
        <v>-58506.4989637046</v>
      </c>
    </row>
    <row r="16" customFormat="false" ht="15" hidden="false" customHeight="true" outlineLevel="0" collapsed="false">
      <c r="A16" s="8" t="s">
        <v>251</v>
      </c>
      <c r="B16" s="35" t="n">
        <v>-13417</v>
      </c>
      <c r="C16" s="35" t="n">
        <v>-19897</v>
      </c>
      <c r="D16" s="35" t="n">
        <v>-26074</v>
      </c>
      <c r="E16" s="35" t="n">
        <v>-34672</v>
      </c>
      <c r="F16" s="35" t="n">
        <v>-14838</v>
      </c>
      <c r="G16" s="35" t="n">
        <v>-5160</v>
      </c>
      <c r="H16" s="35" t="n">
        <v>-15111</v>
      </c>
      <c r="I16" s="35" t="n">
        <v>3414</v>
      </c>
      <c r="J16" s="35" t="n">
        <v>-7816</v>
      </c>
      <c r="K16" s="35" t="n">
        <v>-6306</v>
      </c>
      <c r="L16" s="35" t="n">
        <v>-9522</v>
      </c>
      <c r="M16" s="51" t="n">
        <v>-9000</v>
      </c>
      <c r="N16" s="51" t="n">
        <v>-9000</v>
      </c>
      <c r="O16" s="51" t="n">
        <v>-9000</v>
      </c>
      <c r="P16" s="51" t="n">
        <v>-9000</v>
      </c>
      <c r="Q16" s="51" t="n">
        <v>-9000</v>
      </c>
    </row>
    <row r="17" customFormat="false" ht="15" hidden="false" customHeight="true" outlineLevel="0" collapsed="false">
      <c r="A17" s="8" t="s">
        <v>252</v>
      </c>
      <c r="B17" s="35" t="n">
        <v>-107977</v>
      </c>
      <c r="C17" s="35" t="n">
        <v>-117330</v>
      </c>
      <c r="D17" s="35" t="n">
        <v>-126144</v>
      </c>
      <c r="E17" s="35" t="n">
        <v>-135211</v>
      </c>
      <c r="F17" s="35" t="n">
        <v>-135216</v>
      </c>
      <c r="G17" s="35" t="n">
        <v>-164625</v>
      </c>
      <c r="H17" s="35" t="n">
        <v>-160463</v>
      </c>
      <c r="I17" s="35" t="n">
        <v>-182869</v>
      </c>
      <c r="J17" s="35" t="n">
        <v>-214046</v>
      </c>
      <c r="K17" s="35" t="n">
        <v>-222591</v>
      </c>
      <c r="L17" s="35" t="n">
        <v>-193246</v>
      </c>
      <c r="M17" s="50" t="n">
        <f aca="false">-Assumptions!B53-Assumptions!B57-Assumptions!B58</f>
        <v>-186163.4508</v>
      </c>
      <c r="N17" s="50" t="n">
        <f aca="false">-Assumptions!C53-Assumptions!C57-Assumptions!C58</f>
        <v>-181399.273928569</v>
      </c>
      <c r="O17" s="50" t="n">
        <f aca="false">-Assumptions!D53-Assumptions!D57-Assumptions!D58</f>
        <v>-183276.282442997</v>
      </c>
      <c r="P17" s="50" t="n">
        <f aca="false">-Assumptions!E53-Assumptions!E57-Assumptions!E58</f>
        <v>-193877.087092775</v>
      </c>
      <c r="Q17" s="50" t="n">
        <f aca="false">-Assumptions!F53-Assumptions!F57-Assumptions!F58</f>
        <v>-204180.448034624</v>
      </c>
    </row>
    <row r="18" customFormat="false" ht="15" hidden="false" customHeight="true" outlineLevel="0" collapsed="false">
      <c r="A18" s="8" t="s">
        <v>253</v>
      </c>
      <c r="B18" s="35" t="n">
        <v>-2799</v>
      </c>
      <c r="C18" s="35" t="n">
        <v>-4249</v>
      </c>
      <c r="D18" s="35" t="n">
        <v>-4434</v>
      </c>
      <c r="E18" s="35" t="n">
        <v>-4740</v>
      </c>
      <c r="F18" s="35" t="n">
        <v>-6290</v>
      </c>
      <c r="G18" s="35" t="n">
        <v>-7668</v>
      </c>
      <c r="H18" s="35" t="n">
        <v>-8250</v>
      </c>
      <c r="I18" s="35" t="n">
        <v>-7462</v>
      </c>
      <c r="J18" s="35" t="n">
        <v>0</v>
      </c>
      <c r="K18" s="35" t="n">
        <v>0</v>
      </c>
      <c r="L18" s="35" t="n">
        <v>0</v>
      </c>
      <c r="M18" s="51" t="n">
        <v>-7000</v>
      </c>
      <c r="N18" s="51" t="n">
        <v>-7000</v>
      </c>
      <c r="O18" s="51" t="n">
        <v>-7000</v>
      </c>
      <c r="P18" s="51" t="n">
        <v>-7000</v>
      </c>
      <c r="Q18" s="51" t="n">
        <v>-7000</v>
      </c>
    </row>
    <row r="19" customFormat="false" ht="15" hidden="false" customHeight="true" outlineLevel="0" collapsed="false">
      <c r="A19" s="8" t="s">
        <v>254</v>
      </c>
      <c r="B19" s="35" t="n">
        <v>173242</v>
      </c>
      <c r="C19" s="35" t="n">
        <v>227335</v>
      </c>
      <c r="D19" s="35" t="n">
        <v>626953</v>
      </c>
      <c r="E19" s="35" t="n">
        <v>990529</v>
      </c>
      <c r="F19" s="35" t="n">
        <v>892156</v>
      </c>
      <c r="G19" s="35" t="n">
        <v>595859</v>
      </c>
      <c r="H19" s="35" t="n">
        <v>1048742</v>
      </c>
      <c r="I19" s="35" t="n">
        <v>-468327</v>
      </c>
      <c r="J19" s="35" t="n">
        <v>-914585</v>
      </c>
      <c r="K19" s="35" t="n">
        <v>58486</v>
      </c>
      <c r="L19" s="35" t="n">
        <v>-84690</v>
      </c>
      <c r="M19" s="51" t="n">
        <v>0</v>
      </c>
      <c r="N19" s="51" t="n">
        <v>0</v>
      </c>
      <c r="O19" s="51" t="n">
        <v>0</v>
      </c>
      <c r="P19" s="51" t="n">
        <v>0</v>
      </c>
      <c r="Q19" s="51" t="n">
        <v>0</v>
      </c>
    </row>
    <row r="20" customFormat="false" ht="15" hidden="false" customHeight="true" outlineLevel="0" collapsed="false">
      <c r="A20" s="8" t="s">
        <v>255</v>
      </c>
      <c r="B20" s="35" t="n">
        <v>-276</v>
      </c>
      <c r="C20" s="35" t="n">
        <v>-731</v>
      </c>
      <c r="D20" s="35" t="n">
        <v>-852</v>
      </c>
      <c r="E20" s="35" t="n">
        <v>-1330</v>
      </c>
      <c r="F20" s="35" t="n">
        <v>0</v>
      </c>
      <c r="G20" s="35" t="n">
        <v>-1230</v>
      </c>
      <c r="H20" s="35" t="n">
        <v>-665</v>
      </c>
      <c r="I20" s="35" t="n">
        <v>29016</v>
      </c>
      <c r="J20" s="35" t="n">
        <v>0</v>
      </c>
      <c r="K20" s="35" t="n">
        <v>0</v>
      </c>
      <c r="L20" s="35" t="n">
        <v>0</v>
      </c>
      <c r="M20" s="52" t="n">
        <v>0</v>
      </c>
      <c r="N20" s="52" t="n">
        <v>0</v>
      </c>
      <c r="O20" s="52" t="n">
        <v>0</v>
      </c>
      <c r="P20" s="52" t="n">
        <v>0</v>
      </c>
      <c r="Q20" s="52" t="n">
        <v>0</v>
      </c>
    </row>
    <row r="21" customFormat="false" ht="15" hidden="false" customHeight="true" outlineLevel="0" collapsed="false">
      <c r="A21" s="8" t="s">
        <v>256</v>
      </c>
      <c r="B21" s="35" t="n">
        <v>0</v>
      </c>
      <c r="C21" s="35" t="n">
        <v>0</v>
      </c>
      <c r="D21" s="35" t="n">
        <v>0</v>
      </c>
      <c r="E21" s="35" t="n">
        <v>0</v>
      </c>
      <c r="F21" s="35" t="n">
        <v>6522</v>
      </c>
      <c r="G21" s="35" t="n">
        <v>-3979</v>
      </c>
      <c r="H21" s="35" t="n">
        <v>14088</v>
      </c>
      <c r="I21" s="35" t="n">
        <v>-101261</v>
      </c>
      <c r="J21" s="35" t="n">
        <v>-34373</v>
      </c>
      <c r="K21" s="35" t="n">
        <v>-5994</v>
      </c>
      <c r="L21" s="35" t="n">
        <v>-19871</v>
      </c>
      <c r="M21" s="52" t="n">
        <v>0</v>
      </c>
      <c r="N21" s="52" t="n">
        <v>0</v>
      </c>
      <c r="O21" s="52" t="n">
        <v>0</v>
      </c>
      <c r="P21" s="52" t="n">
        <v>0</v>
      </c>
      <c r="Q21" s="52" t="n">
        <v>0</v>
      </c>
    </row>
    <row r="22" customFormat="false" ht="15" hidden="false" customHeight="true" outlineLevel="0" collapsed="false">
      <c r="A22" s="8" t="s">
        <v>257</v>
      </c>
      <c r="B22" s="35" t="n">
        <v>282</v>
      </c>
      <c r="C22" s="35" t="n">
        <v>-397</v>
      </c>
      <c r="D22" s="35" t="n">
        <v>-11866</v>
      </c>
      <c r="E22" s="35" t="n">
        <v>-3006</v>
      </c>
      <c r="F22" s="35" t="n">
        <v>-3684</v>
      </c>
      <c r="G22" s="35" t="n">
        <v>-52672</v>
      </c>
      <c r="H22" s="35" t="n">
        <v>50282</v>
      </c>
      <c r="I22" s="35" t="n">
        <v>54135</v>
      </c>
      <c r="J22" s="35" t="n">
        <v>0</v>
      </c>
      <c r="K22" s="35" t="n">
        <v>0</v>
      </c>
      <c r="L22" s="35" t="n">
        <v>0</v>
      </c>
      <c r="M22" s="52" t="n">
        <v>0</v>
      </c>
      <c r="N22" s="52" t="n">
        <v>0</v>
      </c>
      <c r="O22" s="52" t="n">
        <v>0</v>
      </c>
      <c r="P22" s="52" t="n">
        <v>0</v>
      </c>
      <c r="Q22" s="52" t="n">
        <v>0</v>
      </c>
    </row>
    <row r="23" customFormat="false" ht="15" hidden="false" customHeight="true" outlineLevel="0" collapsed="false">
      <c r="A23" s="8" t="s">
        <v>258</v>
      </c>
      <c r="B23" s="35" t="n">
        <v>-639</v>
      </c>
      <c r="C23" s="35" t="n">
        <v>-1813</v>
      </c>
      <c r="D23" s="35" t="n">
        <v>-488</v>
      </c>
      <c r="E23" s="35" t="n">
        <v>-2594</v>
      </c>
      <c r="F23" s="35" t="n">
        <v>0</v>
      </c>
      <c r="G23" s="35" t="n">
        <v>-1387</v>
      </c>
      <c r="H23" s="35" t="n">
        <v>-241</v>
      </c>
      <c r="I23" s="35" t="n">
        <v>-3318</v>
      </c>
      <c r="J23" s="35" t="n">
        <v>0</v>
      </c>
      <c r="K23" s="35" t="n">
        <v>0</v>
      </c>
      <c r="L23" s="35" t="n">
        <v>0</v>
      </c>
      <c r="M23" s="52" t="n">
        <v>0</v>
      </c>
      <c r="N23" s="52" t="n">
        <v>0</v>
      </c>
      <c r="O23" s="52" t="n">
        <v>0</v>
      </c>
      <c r="P23" s="52" t="n">
        <v>0</v>
      </c>
      <c r="Q23" s="52" t="n">
        <v>0</v>
      </c>
    </row>
    <row r="24" customFormat="false" ht="15" hidden="false" customHeight="true" outlineLevel="0" collapsed="false">
      <c r="A24" s="8" t="s">
        <v>259</v>
      </c>
      <c r="B24" s="35" t="n">
        <v>0</v>
      </c>
      <c r="C24" s="35" t="n">
        <v>0</v>
      </c>
      <c r="D24" s="35" t="n">
        <v>0</v>
      </c>
      <c r="E24" s="35" t="n">
        <v>0</v>
      </c>
      <c r="F24" s="35" t="n">
        <v>-47058</v>
      </c>
      <c r="G24" s="35" t="n">
        <v>24478</v>
      </c>
      <c r="H24" s="35" t="n">
        <v>-38651</v>
      </c>
      <c r="I24" s="35" t="n">
        <v>104822</v>
      </c>
      <c r="J24" s="35" t="n">
        <v>45209</v>
      </c>
      <c r="K24" s="35" t="n">
        <v>-118526</v>
      </c>
      <c r="L24" s="35" t="n">
        <v>-39656</v>
      </c>
      <c r="M24" s="52" t="n">
        <v>0</v>
      </c>
      <c r="N24" s="52" t="n">
        <v>0</v>
      </c>
      <c r="O24" s="52" t="n">
        <v>0</v>
      </c>
      <c r="P24" s="52" t="n">
        <v>0</v>
      </c>
      <c r="Q24" s="52" t="n">
        <v>0</v>
      </c>
    </row>
    <row r="25" customFormat="false" ht="15" hidden="false" customHeight="true" outlineLevel="0" collapsed="false">
      <c r="A25" s="8" t="s">
        <v>260</v>
      </c>
      <c r="B25" s="35" t="n">
        <v>0</v>
      </c>
      <c r="C25" s="35" t="n">
        <v>0</v>
      </c>
      <c r="D25" s="35" t="n">
        <v>0</v>
      </c>
      <c r="E25" s="35" t="n">
        <v>0</v>
      </c>
      <c r="F25" s="35" t="n">
        <v>-8527</v>
      </c>
      <c r="G25" s="35" t="n">
        <v>0</v>
      </c>
      <c r="H25" s="35" t="n">
        <v>0</v>
      </c>
      <c r="I25" s="35" t="n">
        <v>0</v>
      </c>
      <c r="J25" s="35" t="n">
        <v>-13911</v>
      </c>
      <c r="K25" s="35" t="n">
        <v>-28532</v>
      </c>
      <c r="L25" s="35" t="n">
        <v>-42588</v>
      </c>
      <c r="M25" s="50" t="n">
        <f aca="false">-Assumptions!B42</f>
        <v>-15000</v>
      </c>
      <c r="N25" s="50" t="n">
        <f aca="false">-Assumptions!C42</f>
        <v>-5000</v>
      </c>
      <c r="O25" s="50" t="n">
        <f aca="false">-Assumptions!D42</f>
        <v>-0</v>
      </c>
      <c r="P25" s="50" t="n">
        <f aca="false">-Assumptions!E42</f>
        <v>-0</v>
      </c>
      <c r="Q25" s="50" t="n">
        <f aca="false">-Assumptions!F42</f>
        <v>-0</v>
      </c>
    </row>
    <row r="26" customFormat="false" ht="15" hidden="false" customHeight="true" outlineLevel="0" collapsed="false">
      <c r="A26" s="8" t="s">
        <v>261</v>
      </c>
      <c r="B26" s="35" t="n">
        <v>-7447</v>
      </c>
      <c r="C26" s="35" t="n">
        <v>4441</v>
      </c>
      <c r="D26" s="35" t="n">
        <v>3515</v>
      </c>
      <c r="E26" s="35" t="n">
        <v>-2327</v>
      </c>
      <c r="F26" s="35" t="n">
        <v>37933</v>
      </c>
      <c r="G26" s="35" t="n">
        <v>5982</v>
      </c>
      <c r="H26" s="35" t="n">
        <v>-6095</v>
      </c>
      <c r="I26" s="35" t="n">
        <v>-21000</v>
      </c>
      <c r="J26" s="35" t="n">
        <v>4161</v>
      </c>
      <c r="K26" s="35" t="n">
        <v>-26782</v>
      </c>
      <c r="L26" s="35" t="n">
        <v>-4034</v>
      </c>
      <c r="M26" s="52" t="n">
        <v>0</v>
      </c>
      <c r="N26" s="52" t="n">
        <v>0</v>
      </c>
      <c r="O26" s="52" t="n">
        <v>0</v>
      </c>
      <c r="P26" s="52" t="n">
        <v>0</v>
      </c>
      <c r="Q26" s="52" t="n">
        <v>0</v>
      </c>
    </row>
    <row r="27" customFormat="false" ht="15" hidden="false" customHeight="true" outlineLevel="0" collapsed="false">
      <c r="A27" s="8" t="s">
        <v>262</v>
      </c>
      <c r="B27" s="35" t="n">
        <v>0</v>
      </c>
      <c r="C27" s="35" t="n">
        <v>0</v>
      </c>
      <c r="D27" s="35" t="n">
        <v>0</v>
      </c>
      <c r="E27" s="35" t="n">
        <v>0</v>
      </c>
      <c r="F27" s="35" t="n">
        <v>0</v>
      </c>
      <c r="G27" s="35" t="n">
        <v>0</v>
      </c>
      <c r="H27" s="35" t="n">
        <v>0</v>
      </c>
      <c r="I27" s="35" t="n">
        <v>-14278</v>
      </c>
      <c r="J27" s="35" t="n">
        <v>0</v>
      </c>
      <c r="K27" s="35" t="n">
        <v>0</v>
      </c>
      <c r="L27" s="35" t="n">
        <v>0</v>
      </c>
    </row>
    <row r="28" customFormat="false" ht="15" hidden="false" customHeight="true" outlineLevel="0" collapsed="false">
      <c r="A28" s="8" t="s">
        <v>263</v>
      </c>
      <c r="B28" s="35" t="n">
        <v>0</v>
      </c>
      <c r="C28" s="35" t="n">
        <v>0</v>
      </c>
      <c r="D28" s="35" t="n">
        <v>0</v>
      </c>
      <c r="E28" s="35" t="n">
        <v>0</v>
      </c>
      <c r="F28" s="35" t="n">
        <v>0</v>
      </c>
      <c r="G28" s="35" t="n">
        <v>0</v>
      </c>
      <c r="H28" s="35" t="n">
        <v>0</v>
      </c>
      <c r="I28" s="35" t="n">
        <v>0</v>
      </c>
      <c r="J28" s="35" t="n">
        <v>3251</v>
      </c>
      <c r="K28" s="35" t="n">
        <v>3012</v>
      </c>
      <c r="L28" s="35" t="n">
        <v>-4493</v>
      </c>
    </row>
    <row r="29" customFormat="false" ht="15" hidden="false" customHeight="true" outlineLevel="0" collapsed="false">
      <c r="A29" s="8" t="s">
        <v>264</v>
      </c>
      <c r="B29" s="35" t="n">
        <v>-9583</v>
      </c>
      <c r="C29" s="35" t="n">
        <v>0</v>
      </c>
      <c r="D29" s="35" t="n">
        <v>0</v>
      </c>
      <c r="E29" s="35" t="n">
        <v>-6937</v>
      </c>
      <c r="F29" s="35" t="n">
        <v>0</v>
      </c>
      <c r="G29" s="35" t="n">
        <v>0</v>
      </c>
      <c r="H29" s="35" t="n">
        <v>0</v>
      </c>
      <c r="I29" s="35" t="n">
        <v>1766</v>
      </c>
      <c r="J29" s="35" t="n">
        <v>0</v>
      </c>
      <c r="K29" s="35" t="n">
        <v>0</v>
      </c>
      <c r="L29" s="35" t="n">
        <v>0</v>
      </c>
      <c r="M29" s="52" t="n">
        <v>0</v>
      </c>
      <c r="N29" s="52" t="n">
        <v>0</v>
      </c>
      <c r="O29" s="52" t="n">
        <v>0</v>
      </c>
      <c r="P29" s="52" t="n">
        <v>0</v>
      </c>
      <c r="Q29" s="52" t="n">
        <v>0</v>
      </c>
    </row>
    <row r="30" customFormat="false" ht="15" hidden="false" customHeight="true" outlineLevel="0" collapsed="false">
      <c r="A30" s="8" t="s">
        <v>265</v>
      </c>
      <c r="B30" s="35" t="n">
        <v>0</v>
      </c>
      <c r="C30" s="35" t="n">
        <v>0</v>
      </c>
      <c r="D30" s="35" t="n">
        <v>-146</v>
      </c>
      <c r="E30" s="35" t="n">
        <v>-14</v>
      </c>
      <c r="F30" s="35" t="n">
        <v>-17282</v>
      </c>
      <c r="G30" s="35" t="n">
        <v>-3350</v>
      </c>
      <c r="H30" s="35" t="n">
        <v>-4539</v>
      </c>
      <c r="I30" s="35" t="n">
        <v>-4843</v>
      </c>
      <c r="J30" s="35" t="n">
        <v>0</v>
      </c>
      <c r="K30" s="35" t="n">
        <v>-15713</v>
      </c>
      <c r="L30" s="35" t="n">
        <v>-18816</v>
      </c>
      <c r="M30" s="51" t="n">
        <v>-5000</v>
      </c>
      <c r="N30" s="51" t="n">
        <v>-5000</v>
      </c>
      <c r="O30" s="51" t="n">
        <v>-5000</v>
      </c>
      <c r="P30" s="51" t="n">
        <v>-5000</v>
      </c>
      <c r="Q30" s="51" t="n">
        <v>-5000</v>
      </c>
    </row>
    <row r="31" customFormat="false" ht="15" hidden="false" customHeight="true" outlineLevel="0" collapsed="false">
      <c r="A31" s="8" t="s">
        <v>266</v>
      </c>
      <c r="B31" s="35" t="n">
        <v>0</v>
      </c>
      <c r="C31" s="35" t="n">
        <v>0</v>
      </c>
      <c r="D31" s="35" t="n">
        <v>-7263</v>
      </c>
      <c r="E31" s="35" t="n">
        <v>-18794</v>
      </c>
      <c r="F31" s="35" t="n">
        <v>-5079</v>
      </c>
      <c r="G31" s="35" t="n">
        <v>-25213</v>
      </c>
      <c r="H31" s="35" t="n">
        <v>-76642</v>
      </c>
      <c r="I31" s="35" t="n">
        <v>14877</v>
      </c>
      <c r="J31" s="35" t="n">
        <v>0</v>
      </c>
      <c r="K31" s="35" t="n">
        <v>-23726</v>
      </c>
      <c r="L31" s="35" t="n">
        <v>1343</v>
      </c>
      <c r="M31" s="52" t="n">
        <v>0</v>
      </c>
      <c r="N31" s="52" t="n">
        <v>0</v>
      </c>
      <c r="O31" s="52" t="n">
        <v>0</v>
      </c>
      <c r="P31" s="52" t="n">
        <v>0</v>
      </c>
      <c r="Q31" s="52" t="n">
        <v>0</v>
      </c>
    </row>
    <row r="33" customFormat="false" ht="15" hidden="false" customHeight="true" outlineLevel="0" collapsed="false">
      <c r="A33" s="3" t="s">
        <v>267</v>
      </c>
      <c r="B33" s="36" t="n">
        <v>345633</v>
      </c>
      <c r="C33" s="36" t="n">
        <v>439413</v>
      </c>
      <c r="D33" s="36" t="n">
        <v>836811</v>
      </c>
      <c r="E33" s="36" t="n">
        <v>1217671</v>
      </c>
      <c r="F33" s="36" t="n">
        <v>1195447</v>
      </c>
      <c r="G33" s="36" t="n">
        <v>925928</v>
      </c>
      <c r="H33" s="36" t="n">
        <v>1392795</v>
      </c>
      <c r="I33" s="36" t="n">
        <v>13637</v>
      </c>
      <c r="J33" s="36" t="n">
        <v>-488053</v>
      </c>
      <c r="K33" s="36" t="n">
        <v>292742</v>
      </c>
      <c r="L33" s="36" t="n">
        <v>197051</v>
      </c>
      <c r="M33" s="17" t="n">
        <f aca="false">M11+M14+M15+M16+M17+M18+M19+M20+M22+M23+M24+M25+M26+M29+M21+M27+M28+M30+M31</f>
        <v>376760.8316884</v>
      </c>
      <c r="N33" s="17" t="n">
        <f aca="false">N11+N14+N15+N16+N17+N18+N19+N20+N22+N23+N24+N25+N26+N29+N21+N27+N28+N30+N31</f>
        <v>381114.40466408</v>
      </c>
      <c r="O33" s="17" t="n">
        <f aca="false">O11+O14+O15+O16+O17+O18+O19+O20+O22+O23+O24+O25+O26+O29+O21+O27+O28+O30+O31</f>
        <v>391363.565839531</v>
      </c>
      <c r="P33" s="17" t="n">
        <f aca="false">P11+P14+P15+P16+P17+P18+P19+P20+P22+P23+P24+P25+P26+P29+P21+P27+P28+P30+P31</f>
        <v>401271.633256431</v>
      </c>
      <c r="Q33" s="17" t="n">
        <f aca="false">Q11+Q14+Q15+Q16+Q17+Q18+Q19+Q20+Q22+Q23+Q24+Q25+Q26+Q29+Q21+Q27+Q28+Q30+Q31</f>
        <v>413259.899598338</v>
      </c>
    </row>
    <row r="34" customFormat="false" ht="15" hidden="false" customHeight="true" outlineLevel="0" collapsed="false">
      <c r="A34" s="4" t="s">
        <v>268</v>
      </c>
      <c r="B34" s="32" t="n">
        <f aca="false">B11+B14+B15+B16+B17+B18+B19+B20+B21+B22+B23+B24+B25+B26+B27+B28+B29+B30+B31</f>
        <v>345633</v>
      </c>
      <c r="C34" s="32" t="n">
        <f aca="false">C11+C14+C15+C16+C17+C18+C19+C20+C21+C22+C23+C24+C25+C26+C27+C28+C29+C30+C31</f>
        <v>439413</v>
      </c>
      <c r="D34" s="32" t="n">
        <f aca="false">D11+D14+D15+D16+D17+D18+D19+D20+D21+D22+D23+D24+D25+D26+D27+D28+D29+D30+D31</f>
        <v>836811</v>
      </c>
      <c r="E34" s="32" t="n">
        <f aca="false">E11+E14+E15+E16+E17+E18+E19+E20+E21+E22+E23+E24+E25+E26+E27+E28+E29+E30+E31</f>
        <v>1217671</v>
      </c>
      <c r="F34" s="32" t="n">
        <f aca="false">F11+F14+F15+F16+F17+F18+F19+F20+F21+F22+F23+F24+F25+F26+F27+F28+F29+F30+F31</f>
        <v>1195447</v>
      </c>
      <c r="G34" s="32" t="n">
        <f aca="false">G11+G14+G15+G16+G17+G18+G19+G20+G21+G22+G23+G24+G25+G26+G27+G28+G29+G30+G31</f>
        <v>925928</v>
      </c>
      <c r="H34" s="32" t="n">
        <f aca="false">H11+H14+H15+H16+H17+H18+H19+H20+H21+H22+H23+H24+H25+H26+H27+H28+H29+H30+H31</f>
        <v>1392795</v>
      </c>
      <c r="I34" s="32" t="n">
        <f aca="false">I11+I14+I15+I16+I17+I18+I19+I20+I21+I22+I23+I24+I25+I26+I27+I28+I29+I30+I31</f>
        <v>13637</v>
      </c>
      <c r="J34" s="32" t="n">
        <f aca="false">J11+J14+J15+J16+J17+J18+J19+J20+J21+J22+J23+J24+J25+J26+J27+J28+J29+J30+J31</f>
        <v>-488053</v>
      </c>
      <c r="K34" s="32" t="n">
        <f aca="false">K11+K14+K15+K16+K17+K18+K19+K20+K21+K22+K23+K24+K25+K26+K27+K28+K29+K30+K31</f>
        <v>292742</v>
      </c>
      <c r="L34" s="32" t="n">
        <f aca="false">L11+L14+L15+L16+L17+L18+L19+L20+L21+L22+L23+L24+L25+L26+L27+L28+L29+L30+L31</f>
        <v>197051</v>
      </c>
    </row>
    <row r="35" customFormat="false" ht="15" hidden="false" customHeight="true" outlineLevel="0" collapsed="false">
      <c r="A35" s="4" t="s">
        <v>269</v>
      </c>
      <c r="B35" s="32" t="n">
        <f aca="false">B33-B34</f>
        <v>0</v>
      </c>
      <c r="C35" s="32" t="n">
        <f aca="false">C33-C34</f>
        <v>0</v>
      </c>
      <c r="D35" s="32" t="n">
        <f aca="false">D33-D34</f>
        <v>0</v>
      </c>
      <c r="E35" s="32" t="n">
        <f aca="false">E33-E34</f>
        <v>0</v>
      </c>
      <c r="F35" s="32" t="n">
        <f aca="false">F33-F34</f>
        <v>0</v>
      </c>
      <c r="G35" s="32" t="n">
        <f aca="false">G33-G34</f>
        <v>0</v>
      </c>
      <c r="H35" s="32" t="n">
        <f aca="false">H33-H34</f>
        <v>0</v>
      </c>
      <c r="I35" s="32" t="n">
        <f aca="false">I33-I34</f>
        <v>0</v>
      </c>
      <c r="J35" s="32" t="n">
        <f aca="false">J33-J34</f>
        <v>0</v>
      </c>
      <c r="K35" s="32" t="n">
        <f aca="false">K33-K34</f>
        <v>0</v>
      </c>
      <c r="L35" s="32" t="n">
        <f aca="false">L33-L34</f>
        <v>0</v>
      </c>
    </row>
    <row r="37" customFormat="false" ht="15" hidden="false" customHeight="true" outlineLevel="0" collapsed="false">
      <c r="A37" s="6" t="s">
        <v>270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customFormat="false" ht="15" hidden="false" customHeight="true" outlineLevel="0" collapsed="false">
      <c r="A38" s="8" t="s">
        <v>271</v>
      </c>
      <c r="B38" s="9" t="n">
        <f aca="false">B11/B8</f>
        <v>0.608121424209158</v>
      </c>
      <c r="C38" s="9" t="n">
        <f aca="false">C11/C8</f>
        <v>0.614825637408245</v>
      </c>
      <c r="D38" s="9" t="n">
        <f aca="false">D11/D8</f>
        <v>0.615579439047527</v>
      </c>
      <c r="E38" s="9" t="n">
        <f aca="false">E11/E8</f>
        <v>0.637620627809203</v>
      </c>
      <c r="F38" s="9" t="n">
        <f aca="false">F11/F8</f>
        <v>0.65082353543892</v>
      </c>
      <c r="G38" s="9" t="n">
        <f aca="false">G11/G8</f>
        <v>0.655045131497106</v>
      </c>
      <c r="H38" s="9" t="n">
        <f aca="false">H11/H8</f>
        <v>0.65370143933849</v>
      </c>
      <c r="I38" s="9" t="n">
        <f aca="false">I11/I8</f>
        <v>0.645715936572988</v>
      </c>
      <c r="J38" s="9" t="n">
        <f aca="false">J11/J8</f>
        <v>0.65030972001761</v>
      </c>
      <c r="K38" s="9" t="n">
        <f aca="false">K11/K8</f>
        <v>0.656624806109592</v>
      </c>
      <c r="L38" s="9" t="n">
        <f aca="false">L11/L8</f>
        <v>0.651519289111429</v>
      </c>
      <c r="M38" s="15" t="n">
        <f aca="false">M11/M8</f>
        <v>0.639037422291965</v>
      </c>
      <c r="N38" s="15" t="n">
        <f aca="false">N11/N8</f>
        <v>0.623018850731257</v>
      </c>
      <c r="O38" s="15" t="n">
        <f aca="false">O11/O8</f>
        <v>0.618973536833765</v>
      </c>
      <c r="P38" s="15" t="n">
        <f aca="false">P11/P8</f>
        <v>0.620648593919451</v>
      </c>
      <c r="Q38" s="15" t="n">
        <f aca="false">Q11/Q8</f>
        <v>0.622292967695942</v>
      </c>
    </row>
    <row r="39" customFormat="false" ht="15" hidden="false" customHeight="true" outlineLevel="0" collapsed="false">
      <c r="A39" s="8" t="s">
        <v>272</v>
      </c>
      <c r="C39" s="9" t="n">
        <f aca="false">C8/B8-1</f>
        <v>0.118083994319949</v>
      </c>
      <c r="D39" s="9" t="n">
        <f aca="false">D8/C8-1</f>
        <v>0.0703901104332718</v>
      </c>
      <c r="E39" s="9" t="n">
        <f aca="false">E8/D8-1</f>
        <v>0.0778643232598983</v>
      </c>
      <c r="F39" s="9" t="n">
        <f aca="false">F8/E8-1</f>
        <v>0.13389051460604</v>
      </c>
      <c r="G39" s="9" t="n">
        <f aca="false">G8/F8-1</f>
        <v>0.130463126616973</v>
      </c>
      <c r="H39" s="9" t="n">
        <f aca="false">H8/G8-1</f>
        <v>0.0572077272464633</v>
      </c>
      <c r="I39" s="9" t="n">
        <f aca="false">I8/H8-1</f>
        <v>0.0794427827853788</v>
      </c>
      <c r="J39" s="9" t="n">
        <f aca="false">J8/I8-1</f>
        <v>0.0576301441125897</v>
      </c>
      <c r="K39" s="9" t="n">
        <f aca="false">K8/J8-1</f>
        <v>0.0445172657528228</v>
      </c>
      <c r="L39" s="9" t="n">
        <f aca="false">L8/K8-1</f>
        <v>-0.098295921246794</v>
      </c>
      <c r="M39" s="15" t="n">
        <f aca="false">M8/L8-1</f>
        <v>0.00498660019693742</v>
      </c>
      <c r="N39" s="15" t="n">
        <f aca="false">N8/M8-1</f>
        <v>0.0100249388846323</v>
      </c>
      <c r="O39" s="15" t="n">
        <f aca="false">O8/N8-1</f>
        <v>0.0177746512891925</v>
      </c>
      <c r="P39" s="15" t="n">
        <f aca="false">P8/O8-1</f>
        <v>0.03196</v>
      </c>
      <c r="Q39" s="15" t="n">
        <f aca="false">Q8/P8-1</f>
        <v>0.03196</v>
      </c>
    </row>
    <row r="40" customFormat="false" ht="15" hidden="false" customHeight="true" outlineLevel="0" collapsed="false">
      <c r="A40" s="8" t="s">
        <v>273</v>
      </c>
      <c r="C40" s="9" t="n">
        <f aca="false">C11/B11-1</f>
        <v>0.130410271892155</v>
      </c>
      <c r="D40" s="9" t="n">
        <f aca="false">D11/C11-1</f>
        <v>0.0717024529427957</v>
      </c>
      <c r="E40" s="9" t="n">
        <f aca="false">E11/D11-1</f>
        <v>0.116457897868575</v>
      </c>
      <c r="F40" s="9" t="n">
        <f aca="false">F11/E11-1</f>
        <v>0.157369447177581</v>
      </c>
      <c r="G40" s="9" t="n">
        <f aca="false">G11/F11-1</f>
        <v>0.137795926399685</v>
      </c>
      <c r="H40" s="9" t="n">
        <f aca="false">H11/G11-1</f>
        <v>0.0550390801337322</v>
      </c>
      <c r="I40" s="9" t="n">
        <f aca="false">I11/H11-1</f>
        <v>0.0662564980253872</v>
      </c>
      <c r="J40" s="9" t="n">
        <f aca="false">J11/I11-1</f>
        <v>0.065154387470038</v>
      </c>
      <c r="K40" s="9" t="n">
        <f aca="false">K11/J11-1</f>
        <v>0.0546604579191843</v>
      </c>
      <c r="L40" s="9" t="n">
        <f aca="false">L11/K11-1</f>
        <v>-0.105307026307938</v>
      </c>
      <c r="M40" s="15" t="n">
        <f aca="false">M11/L11-1</f>
        <v>-0.0142670260711538</v>
      </c>
      <c r="N40" s="15" t="n">
        <f aca="false">N11/M11-1</f>
        <v>-0.0152930725451131</v>
      </c>
      <c r="O40" s="15" t="n">
        <f aca="false">O11/N11-1</f>
        <v>0.0111661547139394</v>
      </c>
      <c r="P40" s="15" t="n">
        <f aca="false">P11/O11-1</f>
        <v>0.0347526749808829</v>
      </c>
      <c r="Q40" s="15" t="n">
        <f aca="false">Q11/P11-1</f>
        <v>0.034694120368616</v>
      </c>
    </row>
    <row r="41" customFormat="false" ht="15" hidden="false" customHeight="true" outlineLevel="0" collapsed="false">
      <c r="A41" s="8" t="s">
        <v>274</v>
      </c>
      <c r="B41" s="9" t="n">
        <f aca="false">-B15/B8</f>
        <v>0.0425385632767451</v>
      </c>
      <c r="C41" s="9" t="n">
        <f aca="false">-C15/C8</f>
        <v>0.0538326594965744</v>
      </c>
      <c r="D41" s="9" t="n">
        <f aca="false">-D15/D8</f>
        <v>0.0509813068019949</v>
      </c>
      <c r="E41" s="9" t="n">
        <f aca="false">-E15/E8</f>
        <v>0.0573857984126869</v>
      </c>
      <c r="F41" s="9" t="n">
        <f aca="false">-F15/F8</f>
        <v>0.0592279515356438</v>
      </c>
      <c r="G41" s="9" t="n">
        <f aca="false">-G15/G8</f>
        <v>0.0490209518457632</v>
      </c>
      <c r="H41" s="9" t="n">
        <f aca="false">-H15/H8</f>
        <v>0.0550465794411753</v>
      </c>
      <c r="I41" s="9" t="n">
        <f aca="false">-I15/I8</f>
        <v>0.0575467502194054</v>
      </c>
      <c r="J41" s="9" t="n">
        <f aca="false">-J15/J8</f>
        <v>0.0585487699905286</v>
      </c>
      <c r="K41" s="9" t="n">
        <f aca="false">-K15/K8</f>
        <v>0.0526842700284522</v>
      </c>
      <c r="L41" s="9" t="n">
        <f aca="false">-L15/L8</f>
        <v>0.0548046372004577</v>
      </c>
      <c r="M41" s="15" t="n">
        <f aca="false">-M15/M8</f>
        <v>0.055</v>
      </c>
      <c r="N41" s="15" t="n">
        <f aca="false">-N15/N8</f>
        <v>0.055</v>
      </c>
      <c r="O41" s="15" t="n">
        <f aca="false">-O15/O8</f>
        <v>0.054</v>
      </c>
      <c r="P41" s="15" t="n">
        <f aca="false">-P15/P8</f>
        <v>0.054</v>
      </c>
      <c r="Q41" s="15" t="n">
        <f aca="false">-Q15/Q8</f>
        <v>0.053</v>
      </c>
    </row>
    <row r="42" customFormat="false" ht="15" hidden="false" customHeight="true" outlineLevel="0" collapsed="false">
      <c r="A42" s="8" t="s">
        <v>131</v>
      </c>
      <c r="B42" s="35" t="n">
        <v>119926</v>
      </c>
      <c r="C42" s="35" t="n">
        <v>132482</v>
      </c>
      <c r="D42" s="35" t="n">
        <v>137828</v>
      </c>
      <c r="E42" s="35" t="n">
        <v>144175</v>
      </c>
      <c r="F42" s="35" t="n">
        <v>159115</v>
      </c>
      <c r="G42" s="35" t="n">
        <v>171694</v>
      </c>
      <c r="H42" s="35" t="n">
        <v>174041</v>
      </c>
      <c r="I42" s="35" t="n">
        <v>174816</v>
      </c>
      <c r="J42" s="35" t="n">
        <v>170117</v>
      </c>
      <c r="K42" s="35" t="n">
        <v>169160</v>
      </c>
      <c r="L42" s="35" t="n">
        <v>159935</v>
      </c>
      <c r="M42" s="53" t="n">
        <f aca="false">Assumptions!B80</f>
        <v>156812.487334956</v>
      </c>
      <c r="N42" s="53" t="n">
        <f aca="false">Assumptions!C80</f>
        <v>155930.974669913</v>
      </c>
      <c r="O42" s="53" t="n">
        <f aca="false">Assumptions!D80</f>
        <v>155930.974669913</v>
      </c>
      <c r="P42" s="53" t="n">
        <f aca="false">Assumptions!E80</f>
        <v>155930.974669913</v>
      </c>
      <c r="Q42" s="53" t="n">
        <f aca="false">Assumptions!F80</f>
        <v>155930.974669913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A1:R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17" min="2" style="1" width="13"/>
  </cols>
  <sheetData>
    <row r="1" customFormat="false" ht="1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275</v>
      </c>
    </row>
    <row r="3" customFormat="false" ht="15" hidden="false" customHeight="true" outlineLevel="0" collapsed="false">
      <c r="A3" s="4" t="s">
        <v>276</v>
      </c>
    </row>
    <row r="5" customFormat="false" ht="15" hidden="false" customHeight="true" outlineLevel="0" collapsed="false">
      <c r="B5" s="5" t="s">
        <v>233</v>
      </c>
      <c r="C5" s="5" t="s">
        <v>234</v>
      </c>
      <c r="D5" s="5" t="s">
        <v>235</v>
      </c>
      <c r="E5" s="5" t="s">
        <v>236</v>
      </c>
      <c r="F5" s="5" t="s">
        <v>237</v>
      </c>
      <c r="G5" s="5" t="s">
        <v>238</v>
      </c>
      <c r="H5" s="5" t="s">
        <v>239</v>
      </c>
      <c r="I5" s="5" t="s">
        <v>240</v>
      </c>
      <c r="J5" s="5" t="s">
        <v>241</v>
      </c>
      <c r="K5" s="5" t="s">
        <v>242</v>
      </c>
      <c r="L5" s="5" t="s">
        <v>243</v>
      </c>
      <c r="M5" s="5" t="s">
        <v>3</v>
      </c>
      <c r="N5" s="5" t="s">
        <v>4</v>
      </c>
      <c r="O5" s="5" t="s">
        <v>5</v>
      </c>
      <c r="P5" s="5" t="s">
        <v>6</v>
      </c>
      <c r="Q5" s="5" t="s">
        <v>7</v>
      </c>
    </row>
    <row r="7" customFormat="false" ht="15" hidden="false" customHeight="true" outlineLevel="0" collapsed="false">
      <c r="A7" s="6" t="s">
        <v>277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customFormat="false" ht="15" hidden="false" customHeight="true" outlineLevel="0" collapsed="false">
      <c r="A8" s="8" t="s">
        <v>278</v>
      </c>
      <c r="B8" s="35" t="n">
        <v>6863140</v>
      </c>
      <c r="C8" s="35" t="n">
        <v>7642017</v>
      </c>
      <c r="D8" s="35" t="n">
        <v>8886556</v>
      </c>
      <c r="E8" s="35" t="n">
        <v>10473544</v>
      </c>
      <c r="F8" s="35" t="n">
        <v>13096426</v>
      </c>
      <c r="G8" s="35" t="n">
        <v>15000591</v>
      </c>
      <c r="H8" s="35" t="n">
        <v>17101919</v>
      </c>
      <c r="I8" s="35" t="n">
        <v>17153709</v>
      </c>
      <c r="J8" s="35" t="n">
        <v>16532096</v>
      </c>
      <c r="K8" s="35" t="n">
        <v>14868362</v>
      </c>
      <c r="L8" s="35" t="n">
        <v>14732478</v>
      </c>
      <c r="M8" s="27" t="n">
        <f aca="false">'Return Profile'!C18</f>
        <v>15161987.9557647</v>
      </c>
      <c r="N8" s="27" t="n">
        <f aca="false">'Return Profile'!D18</f>
        <v>14930114.5740291</v>
      </c>
      <c r="O8" s="27" t="n">
        <f aca="false">'Return Profile'!E18</f>
        <v>15096826.5432595</v>
      </c>
      <c r="P8" s="27" t="n">
        <f aca="false">'Return Profile'!F18</f>
        <v>15621481.6493602</v>
      </c>
      <c r="Q8" s="27" t="n">
        <f aca="false">'Return Profile'!G18</f>
        <v>16163455.2140392</v>
      </c>
    </row>
    <row r="9" customFormat="false" ht="15" hidden="false" customHeight="true" outlineLevel="0" collapsed="false">
      <c r="A9" s="8" t="s">
        <v>279</v>
      </c>
      <c r="B9" s="35" t="n">
        <v>105960</v>
      </c>
      <c r="C9" s="35" t="n">
        <v>107434</v>
      </c>
      <c r="D9" s="35" t="n">
        <v>122342</v>
      </c>
      <c r="E9" s="35" t="n">
        <v>181449</v>
      </c>
      <c r="F9" s="35" t="n">
        <v>224812</v>
      </c>
      <c r="G9" s="35" t="n">
        <v>257210</v>
      </c>
      <c r="H9" s="35" t="n">
        <v>246505</v>
      </c>
      <c r="I9" s="35" t="n">
        <v>0</v>
      </c>
      <c r="J9" s="35" t="n">
        <v>0</v>
      </c>
      <c r="K9" s="35" t="n">
        <v>0</v>
      </c>
      <c r="L9" s="35" t="n">
        <v>0</v>
      </c>
      <c r="M9" s="35" t="n">
        <v>0</v>
      </c>
      <c r="N9" s="35" t="n">
        <v>0</v>
      </c>
      <c r="O9" s="35" t="n">
        <v>0</v>
      </c>
      <c r="P9" s="35" t="n">
        <v>0</v>
      </c>
      <c r="Q9" s="35" t="n">
        <v>0</v>
      </c>
    </row>
    <row r="10" customFormat="false" ht="15" hidden="false" customHeight="true" outlineLevel="0" collapsed="false">
      <c r="A10" s="8" t="s">
        <v>280</v>
      </c>
      <c r="B10" s="35" t="n">
        <v>22850</v>
      </c>
      <c r="C10" s="35" t="n">
        <v>25958</v>
      </c>
      <c r="D10" s="35" t="n">
        <v>30915</v>
      </c>
      <c r="E10" s="35" t="n">
        <v>34655</v>
      </c>
      <c r="F10" s="35" t="n">
        <v>41177</v>
      </c>
      <c r="G10" s="35" t="n">
        <v>37198</v>
      </c>
      <c r="H10" s="35" t="n">
        <v>51286</v>
      </c>
      <c r="I10" s="35" t="n">
        <v>196364</v>
      </c>
      <c r="J10" s="35" t="n">
        <v>162472</v>
      </c>
      <c r="K10" s="35" t="n">
        <v>2364</v>
      </c>
      <c r="L10" s="35" t="n">
        <v>8603</v>
      </c>
      <c r="M10" s="35" t="n">
        <v>0</v>
      </c>
      <c r="N10" s="35" t="n">
        <v>0</v>
      </c>
      <c r="O10" s="35" t="n">
        <v>0</v>
      </c>
      <c r="P10" s="35" t="n">
        <v>0</v>
      </c>
      <c r="Q10" s="35" t="n">
        <v>0</v>
      </c>
    </row>
    <row r="11" customFormat="false" ht="15" hidden="false" customHeight="true" outlineLevel="0" collapsed="false">
      <c r="A11" s="8" t="s">
        <v>281</v>
      </c>
      <c r="B11" s="35" t="n">
        <v>0</v>
      </c>
      <c r="C11" s="35" t="n">
        <v>0</v>
      </c>
      <c r="D11" s="35" t="n">
        <v>0</v>
      </c>
      <c r="E11" s="35" t="n">
        <v>0</v>
      </c>
      <c r="F11" s="35" t="n">
        <v>0</v>
      </c>
      <c r="G11" s="35" t="n">
        <v>0</v>
      </c>
      <c r="H11" s="35" t="n">
        <v>114990</v>
      </c>
      <c r="I11" s="35" t="n">
        <v>46800</v>
      </c>
      <c r="J11" s="35" t="n">
        <v>0</v>
      </c>
      <c r="K11" s="35" t="n">
        <v>130161</v>
      </c>
      <c r="L11" s="35" t="n">
        <v>139394</v>
      </c>
      <c r="M11" s="35" t="n">
        <v>130000</v>
      </c>
      <c r="N11" s="35" t="n">
        <v>120000</v>
      </c>
      <c r="O11" s="35" t="n">
        <v>110000</v>
      </c>
      <c r="P11" s="35" t="n">
        <v>100000</v>
      </c>
      <c r="Q11" s="35" t="n">
        <v>90000</v>
      </c>
    </row>
    <row r="12" customFormat="false" ht="15" hidden="false" customHeight="true" outlineLevel="0" collapsed="false">
      <c r="A12" s="8" t="s">
        <v>282</v>
      </c>
      <c r="B12" s="35" t="n">
        <v>66787</v>
      </c>
      <c r="C12" s="35" t="n">
        <v>74174</v>
      </c>
      <c r="D12" s="35" t="n">
        <v>75140</v>
      </c>
      <c r="E12" s="35" t="n">
        <v>74695</v>
      </c>
      <c r="F12" s="35" t="n">
        <v>79767</v>
      </c>
      <c r="G12" s="35" t="n">
        <v>73810</v>
      </c>
      <c r="H12" s="35" t="n">
        <v>65000</v>
      </c>
      <c r="I12" s="35" t="n">
        <v>55000</v>
      </c>
      <c r="J12" s="35" t="n">
        <v>45000</v>
      </c>
      <c r="K12" s="35" t="n">
        <v>40000</v>
      </c>
      <c r="L12" s="35" t="n">
        <v>35000</v>
      </c>
      <c r="M12" s="35" t="n">
        <v>30000</v>
      </c>
      <c r="N12" s="35" t="n">
        <v>30000</v>
      </c>
      <c r="O12" s="35" t="n">
        <v>30000</v>
      </c>
      <c r="P12" s="35" t="n">
        <v>30000</v>
      </c>
      <c r="Q12" s="35" t="n">
        <v>30000</v>
      </c>
    </row>
    <row r="13" customFormat="false" ht="15" hidden="false" customHeight="true" outlineLevel="0" collapsed="false">
      <c r="A13" s="8" t="s">
        <v>283</v>
      </c>
      <c r="B13" s="35" t="n">
        <v>0</v>
      </c>
      <c r="C13" s="35" t="n">
        <v>0</v>
      </c>
      <c r="D13" s="35" t="n">
        <v>0</v>
      </c>
      <c r="E13" s="35" t="n">
        <v>0</v>
      </c>
      <c r="F13" s="35" t="n">
        <v>15848</v>
      </c>
      <c r="G13" s="35" t="n">
        <v>16468</v>
      </c>
      <c r="H13" s="35" t="n">
        <v>15133</v>
      </c>
      <c r="I13" s="35" t="n">
        <v>0</v>
      </c>
      <c r="J13" s="35" t="n">
        <v>0</v>
      </c>
      <c r="K13" s="35" t="n">
        <v>0</v>
      </c>
      <c r="L13" s="35" t="n">
        <v>0</v>
      </c>
      <c r="M13" s="35" t="n">
        <v>0</v>
      </c>
      <c r="N13" s="35" t="n">
        <v>0</v>
      </c>
      <c r="O13" s="35" t="n">
        <v>0</v>
      </c>
      <c r="P13" s="35" t="n">
        <v>0</v>
      </c>
      <c r="Q13" s="35" t="n">
        <v>0</v>
      </c>
    </row>
    <row r="14" customFormat="false" ht="15" hidden="false" customHeight="true" outlineLevel="0" collapsed="false">
      <c r="A14" s="8" t="s">
        <v>284</v>
      </c>
      <c r="B14" s="35" t="n">
        <v>9241</v>
      </c>
      <c r="C14" s="35" t="n">
        <v>13161</v>
      </c>
      <c r="D14" s="35" t="n">
        <v>14667</v>
      </c>
      <c r="E14" s="35" t="n">
        <v>15394</v>
      </c>
      <c r="F14" s="35" t="n">
        <v>16000</v>
      </c>
      <c r="G14" s="35" t="n">
        <v>16520</v>
      </c>
      <c r="H14" s="35" t="n">
        <v>13824</v>
      </c>
      <c r="I14" s="35" t="n">
        <v>12000</v>
      </c>
      <c r="J14" s="35" t="n">
        <v>11000</v>
      </c>
      <c r="K14" s="35" t="n">
        <v>10000</v>
      </c>
      <c r="L14" s="35" t="n">
        <v>9000</v>
      </c>
      <c r="M14" s="35" t="n">
        <v>8000</v>
      </c>
      <c r="N14" s="35" t="n">
        <v>8000</v>
      </c>
      <c r="O14" s="35" t="n">
        <v>8000</v>
      </c>
      <c r="P14" s="35" t="n">
        <v>8000</v>
      </c>
      <c r="Q14" s="35" t="n">
        <v>8000</v>
      </c>
    </row>
    <row r="15" customFormat="false" ht="15" hidden="false" customHeight="true" outlineLevel="0" collapsed="false">
      <c r="A15" s="8" t="s">
        <v>285</v>
      </c>
      <c r="B15" s="35" t="n">
        <v>0</v>
      </c>
      <c r="C15" s="35" t="n">
        <v>0</v>
      </c>
      <c r="D15" s="35" t="n">
        <v>0</v>
      </c>
      <c r="E15" s="35" t="n">
        <v>0</v>
      </c>
      <c r="F15" s="35" t="n">
        <v>3984</v>
      </c>
      <c r="G15" s="35" t="n">
        <v>778</v>
      </c>
      <c r="H15" s="35" t="n">
        <v>22420</v>
      </c>
      <c r="I15" s="35" t="n">
        <v>62599</v>
      </c>
      <c r="J15" s="35" t="n">
        <v>35619</v>
      </c>
      <c r="K15" s="35" t="n">
        <v>8813</v>
      </c>
      <c r="L15" s="35" t="n">
        <v>0</v>
      </c>
      <c r="M15" s="35" t="n">
        <v>0</v>
      </c>
      <c r="N15" s="35" t="n">
        <v>0</v>
      </c>
      <c r="O15" s="35" t="n">
        <v>0</v>
      </c>
      <c r="P15" s="35" t="n">
        <v>0</v>
      </c>
      <c r="Q15" s="35" t="n">
        <v>0</v>
      </c>
    </row>
    <row r="16" customFormat="false" ht="15" hidden="false" customHeight="true" outlineLevel="0" collapsed="false">
      <c r="A16" s="8" t="s">
        <v>286</v>
      </c>
      <c r="B16" s="35" t="n">
        <v>0</v>
      </c>
      <c r="C16" s="35" t="n">
        <v>0</v>
      </c>
      <c r="D16" s="35" t="n">
        <v>0</v>
      </c>
      <c r="E16" s="35" t="n">
        <v>0</v>
      </c>
      <c r="F16" s="35" t="n">
        <v>37775</v>
      </c>
      <c r="G16" s="35" t="n">
        <v>1141</v>
      </c>
      <c r="H16" s="35" t="n">
        <v>3365</v>
      </c>
      <c r="I16" s="35" t="n">
        <v>10067</v>
      </c>
      <c r="J16" s="35" t="n">
        <v>8000</v>
      </c>
      <c r="K16" s="35" t="n">
        <v>6000</v>
      </c>
      <c r="L16" s="35" t="n">
        <v>5000</v>
      </c>
      <c r="M16" s="35" t="n">
        <v>4000</v>
      </c>
      <c r="N16" s="35" t="n">
        <v>4000</v>
      </c>
      <c r="O16" s="35" t="n">
        <v>4000</v>
      </c>
      <c r="P16" s="35" t="n">
        <v>4000</v>
      </c>
      <c r="Q16" s="35" t="n">
        <v>4000</v>
      </c>
    </row>
    <row r="17" customFormat="false" ht="15" hidden="false" customHeight="true" outlineLevel="0" collapsed="false">
      <c r="A17" s="8" t="s">
        <v>287</v>
      </c>
      <c r="B17" s="35" t="n">
        <v>0</v>
      </c>
      <c r="C17" s="35" t="n">
        <v>0</v>
      </c>
      <c r="D17" s="35" t="n">
        <v>0</v>
      </c>
      <c r="E17" s="35" t="n">
        <v>0</v>
      </c>
      <c r="F17" s="35" t="n">
        <v>1810</v>
      </c>
      <c r="G17" s="35" t="n">
        <v>2032</v>
      </c>
      <c r="H17" s="35" t="n">
        <v>5010</v>
      </c>
      <c r="I17" s="35" t="n">
        <v>6173</v>
      </c>
      <c r="J17" s="35" t="n">
        <v>19523</v>
      </c>
      <c r="K17" s="35" t="n">
        <v>11793</v>
      </c>
      <c r="L17" s="35" t="n">
        <v>0</v>
      </c>
      <c r="M17" s="35" t="n">
        <v>0</v>
      </c>
      <c r="N17" s="35" t="n">
        <v>0</v>
      </c>
      <c r="O17" s="35" t="n">
        <v>0</v>
      </c>
      <c r="P17" s="35" t="n">
        <v>0</v>
      </c>
      <c r="Q17" s="35" t="n">
        <v>0</v>
      </c>
    </row>
    <row r="18" customFormat="false" ht="15" hidden="false" customHeight="true" outlineLevel="0" collapsed="false">
      <c r="A18" s="8" t="s">
        <v>288</v>
      </c>
      <c r="B18" s="35" t="n">
        <v>1101</v>
      </c>
      <c r="C18" s="35" t="n">
        <v>1345</v>
      </c>
      <c r="D18" s="35" t="n">
        <v>1153</v>
      </c>
      <c r="E18" s="35" t="n">
        <v>1182</v>
      </c>
      <c r="F18" s="35" t="n">
        <v>1320</v>
      </c>
      <c r="G18" s="35" t="n">
        <v>451</v>
      </c>
      <c r="H18" s="35" t="n">
        <v>1339</v>
      </c>
      <c r="I18" s="35" t="n">
        <v>1000</v>
      </c>
      <c r="J18" s="35" t="n">
        <v>800</v>
      </c>
      <c r="K18" s="35" t="n">
        <v>600</v>
      </c>
      <c r="L18" s="35" t="n">
        <v>500</v>
      </c>
      <c r="M18" s="35" t="n">
        <v>400</v>
      </c>
      <c r="N18" s="35" t="n">
        <v>400</v>
      </c>
      <c r="O18" s="35" t="n">
        <v>400</v>
      </c>
      <c r="P18" s="35" t="n">
        <v>400</v>
      </c>
      <c r="Q18" s="35" t="n">
        <v>400</v>
      </c>
    </row>
    <row r="19" customFormat="false" ht="15" hidden="false" customHeight="true" outlineLevel="0" collapsed="false">
      <c r="A19" s="3" t="s">
        <v>289</v>
      </c>
      <c r="B19" s="54" t="n">
        <f aca="false">B8+B9+B10+B11+B12+B13+B14+B15+B16+B17+B18</f>
        <v>7069079</v>
      </c>
      <c r="C19" s="54" t="n">
        <f aca="false">C8+C9+C10+C11+C12+C13+C14+C15+C16+C17+C18</f>
        <v>7864089</v>
      </c>
      <c r="D19" s="54" t="n">
        <f aca="false">D8+D9+D10+D11+D12+D13+D14+D15+D16+D17+D18</f>
        <v>9130773</v>
      </c>
      <c r="E19" s="54" t="n">
        <f aca="false">E8+E9+E10+E11+E12+E13+E14+E15+E16+E17+E18</f>
        <v>10780919</v>
      </c>
      <c r="F19" s="54" t="n">
        <f aca="false">F8+F9+F10+F11+F12+F13+F14+F15+F16+F17+F18</f>
        <v>13518919</v>
      </c>
      <c r="G19" s="54" t="n">
        <f aca="false">G8+G9+G10+G11+G12+G13+G14+G15+G16+G17+G18</f>
        <v>15406199</v>
      </c>
      <c r="H19" s="54" t="n">
        <f aca="false">H8+H9+H10+H11+H12+H13+H14+H15+H16+H17+H18</f>
        <v>17640791</v>
      </c>
      <c r="I19" s="54" t="n">
        <f aca="false">I8+I9+I10+I11+I12+I13+I14+I15+I16+I17+I18</f>
        <v>17543712</v>
      </c>
      <c r="J19" s="54" t="n">
        <f aca="false">J8+J9+J10+J11+J12+J13+J14+J15+J16+J17+J18</f>
        <v>16814510</v>
      </c>
      <c r="K19" s="54" t="n">
        <f aca="false">K8+K9+K10+K11+K12+K13+K14+K15+K16+K17+K18</f>
        <v>15078093</v>
      </c>
      <c r="L19" s="54" t="n">
        <f aca="false">L8+L9+L10+L11+L12+L13+L14+L15+L16+L17+L18</f>
        <v>14929975</v>
      </c>
      <c r="M19" s="54" t="n">
        <f aca="false">M8+M9+M10+M11+M12+M13+M14+M15+M16+M17+M18</f>
        <v>15334387.9557647</v>
      </c>
      <c r="N19" s="54" t="n">
        <f aca="false">N8+N9+N10+N11+N12+N13+N14+N15+N16+N17+N18</f>
        <v>15092514.5740291</v>
      </c>
      <c r="O19" s="54" t="n">
        <f aca="false">O8+O9+O10+O11+O12+O13+O14+O15+O16+O17+O18</f>
        <v>15249226.5432595</v>
      </c>
      <c r="P19" s="54" t="n">
        <f aca="false">P8+P9+P10+P11+P12+P13+P14+P15+P16+P17+P18</f>
        <v>15763881.6493602</v>
      </c>
      <c r="Q19" s="54" t="n">
        <f aca="false">Q8+Q9+Q10+Q11+Q12+Q13+Q14+Q15+Q16+Q17+Q18</f>
        <v>16295855.2140392</v>
      </c>
    </row>
    <row r="21" customFormat="false" ht="15" hidden="false" customHeight="true" outlineLevel="0" collapsed="false">
      <c r="A21" s="6" t="s">
        <v>290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customFormat="false" ht="15" hidden="false" customHeight="true" outlineLevel="0" collapsed="false">
      <c r="A22" s="8" t="s">
        <v>291</v>
      </c>
      <c r="B22" s="35" t="n">
        <v>0</v>
      </c>
      <c r="C22" s="35" t="n">
        <v>0</v>
      </c>
      <c r="D22" s="35" t="n">
        <v>23786</v>
      </c>
      <c r="E22" s="35" t="n">
        <v>0</v>
      </c>
      <c r="F22" s="35" t="n">
        <v>477328</v>
      </c>
      <c r="G22" s="35" t="n">
        <v>121722</v>
      </c>
      <c r="H22" s="35" t="n">
        <v>73411</v>
      </c>
      <c r="I22" s="35" t="n">
        <v>0</v>
      </c>
      <c r="J22" s="35" t="n">
        <v>29528</v>
      </c>
      <c r="K22" s="35" t="n">
        <v>136243</v>
      </c>
      <c r="L22" s="35" t="n">
        <v>33176</v>
      </c>
      <c r="M22" s="35" t="n">
        <v>30000</v>
      </c>
      <c r="N22" s="35" t="n">
        <v>30000</v>
      </c>
      <c r="O22" s="35" t="n">
        <v>30000</v>
      </c>
      <c r="P22" s="35" t="n">
        <v>30000</v>
      </c>
      <c r="Q22" s="35" t="n">
        <v>30000</v>
      </c>
    </row>
    <row r="23" customFormat="false" ht="15" hidden="false" customHeight="true" outlineLevel="0" collapsed="false">
      <c r="A23" s="8" t="s">
        <v>292</v>
      </c>
      <c r="B23" s="35" t="n">
        <v>15220</v>
      </c>
      <c r="C23" s="35" t="n">
        <v>13137</v>
      </c>
      <c r="D23" s="35" t="n">
        <v>9178</v>
      </c>
      <c r="E23" s="35" t="n">
        <v>9887</v>
      </c>
      <c r="F23" s="35" t="n">
        <v>12000</v>
      </c>
      <c r="G23" s="35" t="n">
        <v>15411</v>
      </c>
      <c r="H23" s="35" t="n">
        <v>17866</v>
      </c>
      <c r="I23" s="35" t="n">
        <v>16000</v>
      </c>
      <c r="J23" s="35" t="n">
        <v>16526</v>
      </c>
      <c r="K23" s="35" t="n">
        <v>17384</v>
      </c>
      <c r="L23" s="35" t="n">
        <v>16758</v>
      </c>
      <c r="M23" s="35" t="n">
        <v>15000</v>
      </c>
      <c r="N23" s="35" t="n">
        <v>15000</v>
      </c>
      <c r="O23" s="35" t="n">
        <v>15000</v>
      </c>
      <c r="P23" s="35" t="n">
        <v>15000</v>
      </c>
      <c r="Q23" s="35" t="n">
        <v>15000</v>
      </c>
    </row>
    <row r="24" customFormat="false" ht="15" hidden="false" customHeight="true" outlineLevel="0" collapsed="false">
      <c r="A24" s="8" t="s">
        <v>293</v>
      </c>
      <c r="B24" s="35" t="n">
        <v>4753</v>
      </c>
      <c r="C24" s="35" t="n">
        <v>5559</v>
      </c>
      <c r="D24" s="35" t="n">
        <v>5947</v>
      </c>
      <c r="E24" s="35" t="n">
        <v>6702</v>
      </c>
      <c r="F24" s="35" t="n">
        <v>8000</v>
      </c>
      <c r="G24" s="35" t="n">
        <v>9969</v>
      </c>
      <c r="H24" s="35" t="n">
        <v>10732</v>
      </c>
      <c r="I24" s="35" t="n">
        <v>12000</v>
      </c>
      <c r="J24" s="35" t="n">
        <v>15000</v>
      </c>
      <c r="K24" s="35" t="n">
        <v>56140</v>
      </c>
      <c r="L24" s="35" t="n">
        <v>40572</v>
      </c>
      <c r="M24" s="35" t="n">
        <v>35000</v>
      </c>
      <c r="N24" s="35" t="n">
        <v>35000</v>
      </c>
      <c r="O24" s="35" t="n">
        <v>35000</v>
      </c>
      <c r="P24" s="35" t="n">
        <v>35000</v>
      </c>
      <c r="Q24" s="35" t="n">
        <v>35000</v>
      </c>
    </row>
    <row r="25" customFormat="false" ht="15" hidden="false" customHeight="true" outlineLevel="0" collapsed="false">
      <c r="A25" s="8" t="s">
        <v>294</v>
      </c>
      <c r="B25" s="35" t="n">
        <v>6129</v>
      </c>
      <c r="C25" s="35" t="n">
        <v>6975</v>
      </c>
      <c r="D25" s="35" t="n">
        <v>7096</v>
      </c>
      <c r="E25" s="35" t="n">
        <v>8141</v>
      </c>
      <c r="F25" s="35" t="n">
        <v>8500</v>
      </c>
      <c r="G25" s="35" t="n">
        <v>9355</v>
      </c>
      <c r="H25" s="35" t="n">
        <v>10986</v>
      </c>
      <c r="I25" s="35" t="n">
        <v>10000</v>
      </c>
      <c r="J25" s="35" t="n">
        <v>10000</v>
      </c>
      <c r="K25" s="35" t="n">
        <v>10000</v>
      </c>
      <c r="L25" s="35" t="n">
        <v>9965</v>
      </c>
      <c r="M25" s="35" t="n">
        <v>10000</v>
      </c>
      <c r="N25" s="35" t="n">
        <v>10000</v>
      </c>
      <c r="O25" s="35" t="n">
        <v>10000</v>
      </c>
      <c r="P25" s="35" t="n">
        <v>10000</v>
      </c>
      <c r="Q25" s="35" t="n">
        <v>10000</v>
      </c>
    </row>
    <row r="26" customFormat="false" ht="15" hidden="false" customHeight="true" outlineLevel="0" collapsed="false">
      <c r="A26" s="8" t="s">
        <v>295</v>
      </c>
      <c r="B26" s="35" t="n">
        <v>7647</v>
      </c>
      <c r="C26" s="35" t="n">
        <v>3234</v>
      </c>
      <c r="D26" s="35" t="n">
        <v>10390</v>
      </c>
      <c r="E26" s="35" t="n">
        <v>10901</v>
      </c>
      <c r="F26" s="35" t="n">
        <v>12000</v>
      </c>
      <c r="G26" s="35" t="n">
        <v>10230</v>
      </c>
      <c r="H26" s="35" t="n">
        <v>7543</v>
      </c>
      <c r="I26" s="35" t="n">
        <v>8000</v>
      </c>
      <c r="J26" s="35" t="n">
        <v>8000</v>
      </c>
      <c r="K26" s="35" t="n">
        <v>5000</v>
      </c>
      <c r="L26" s="35" t="n">
        <v>3000</v>
      </c>
      <c r="M26" s="35" t="n">
        <v>3000</v>
      </c>
      <c r="N26" s="35" t="n">
        <v>3000</v>
      </c>
      <c r="O26" s="35" t="n">
        <v>3000</v>
      </c>
      <c r="P26" s="35" t="n">
        <v>3000</v>
      </c>
      <c r="Q26" s="35" t="n">
        <v>3000</v>
      </c>
    </row>
    <row r="27" customFormat="false" ht="15" hidden="false" customHeight="true" outlineLevel="0" collapsed="false">
      <c r="A27" s="8" t="s">
        <v>296</v>
      </c>
      <c r="B27" s="35" t="n">
        <v>0</v>
      </c>
      <c r="C27" s="35" t="n">
        <v>0</v>
      </c>
      <c r="D27" s="35" t="n">
        <v>0</v>
      </c>
      <c r="E27" s="35" t="n">
        <v>0</v>
      </c>
      <c r="F27" s="35" t="n">
        <v>0</v>
      </c>
      <c r="G27" s="35" t="n">
        <v>55</v>
      </c>
      <c r="H27" s="35" t="n">
        <v>8506</v>
      </c>
      <c r="I27" s="35" t="n">
        <v>0</v>
      </c>
      <c r="J27" s="35" t="n">
        <v>10851</v>
      </c>
      <c r="K27" s="35" t="n">
        <v>10263</v>
      </c>
      <c r="L27" s="35" t="n">
        <v>1878</v>
      </c>
      <c r="M27" s="35" t="n">
        <v>0</v>
      </c>
      <c r="N27" s="35" t="n">
        <v>0</v>
      </c>
      <c r="O27" s="35" t="n">
        <v>0</v>
      </c>
      <c r="P27" s="35" t="n">
        <v>0</v>
      </c>
      <c r="Q27" s="35" t="n">
        <v>0</v>
      </c>
    </row>
    <row r="28" customFormat="false" ht="15" hidden="false" customHeight="true" outlineLevel="0" collapsed="false">
      <c r="A28" s="8" t="s">
        <v>297</v>
      </c>
      <c r="B28" s="35" t="n">
        <v>0</v>
      </c>
      <c r="C28" s="35" t="n">
        <v>0</v>
      </c>
      <c r="D28" s="35" t="n">
        <v>0</v>
      </c>
      <c r="E28" s="35" t="n">
        <v>0</v>
      </c>
      <c r="F28" s="35" t="n">
        <v>0</v>
      </c>
      <c r="G28" s="35" t="n">
        <v>0</v>
      </c>
      <c r="H28" s="35" t="n">
        <v>0</v>
      </c>
      <c r="I28" s="35" t="n">
        <v>0</v>
      </c>
      <c r="J28" s="35" t="n">
        <v>45850</v>
      </c>
      <c r="K28" s="35" t="n">
        <v>307460</v>
      </c>
      <c r="L28" s="35" t="n">
        <v>141392</v>
      </c>
      <c r="M28" s="35" t="n">
        <v>80000</v>
      </c>
      <c r="N28" s="35" t="n">
        <v>30000</v>
      </c>
      <c r="O28" s="35" t="n">
        <v>0</v>
      </c>
      <c r="P28" s="35" t="n">
        <v>0</v>
      </c>
      <c r="Q28" s="35" t="n">
        <v>0</v>
      </c>
    </row>
    <row r="29" customFormat="false" ht="15" hidden="false" customHeight="true" outlineLevel="0" collapsed="false">
      <c r="A29" s="3" t="s">
        <v>298</v>
      </c>
      <c r="B29" s="54" t="n">
        <f aca="false">B22+B23+B24+B25+B26+B27+B28</f>
        <v>33749</v>
      </c>
      <c r="C29" s="54" t="n">
        <f aca="false">C22+C23+C24+C25+C26+C27+C28</f>
        <v>28905</v>
      </c>
      <c r="D29" s="54" t="n">
        <f aca="false">D22+D23+D24+D25+D26+D27+D28</f>
        <v>56397</v>
      </c>
      <c r="E29" s="54" t="n">
        <f aca="false">E22+E23+E24+E25+E26+E27+E28</f>
        <v>35631</v>
      </c>
      <c r="F29" s="54" t="n">
        <f aca="false">F22+F23+F24+F25+F26+F27+F28</f>
        <v>517828</v>
      </c>
      <c r="G29" s="54" t="n">
        <f aca="false">G22+G23+G24+G25+G26+G27+G28</f>
        <v>166742</v>
      </c>
      <c r="H29" s="54" t="n">
        <f aca="false">H22+H23+H24+H25+H26+H27+H28</f>
        <v>129044</v>
      </c>
      <c r="I29" s="54" t="n">
        <f aca="false">I22+I23+I24+I25+I26+I27+I28</f>
        <v>46000</v>
      </c>
      <c r="J29" s="54" t="n">
        <f aca="false">J22+J23+J24+J25+J26+J27+J28</f>
        <v>135755</v>
      </c>
      <c r="K29" s="54" t="n">
        <f aca="false">K22+K23+K24+K25+K26+K27+K28</f>
        <v>542490</v>
      </c>
      <c r="L29" s="54" t="n">
        <f aca="false">L22+L23+L24+L25+L26+L27+L28</f>
        <v>246741</v>
      </c>
      <c r="M29" s="54" t="n">
        <f aca="false">M22+M23+M24+M25+M26+M27+M28</f>
        <v>173000</v>
      </c>
      <c r="N29" s="54" t="n">
        <f aca="false">N22+N23+N24+N25+N26+N27+N28</f>
        <v>123000</v>
      </c>
      <c r="O29" s="54" t="n">
        <f aca="false">O22+O23+O24+O25+O26+O27+O28</f>
        <v>93000</v>
      </c>
      <c r="P29" s="54" t="n">
        <f aca="false">P22+P23+P24+P25+P26+P27+P28</f>
        <v>93000</v>
      </c>
      <c r="Q29" s="54" t="n">
        <f aca="false">Q22+Q23+Q24+Q25+Q26+Q27+Q28</f>
        <v>93000</v>
      </c>
    </row>
    <row r="31" customFormat="false" ht="15" hidden="false" customHeight="true" outlineLevel="0" collapsed="false">
      <c r="A31" s="3" t="s">
        <v>299</v>
      </c>
      <c r="B31" s="54" t="n">
        <f aca="false">B19+B29</f>
        <v>7102828</v>
      </c>
      <c r="C31" s="54" t="n">
        <f aca="false">C19+C29</f>
        <v>7892994</v>
      </c>
      <c r="D31" s="54" t="n">
        <f aca="false">D19+D29</f>
        <v>9187170</v>
      </c>
      <c r="E31" s="54" t="n">
        <f aca="false">E19+E29</f>
        <v>10816550</v>
      </c>
      <c r="F31" s="54" t="n">
        <f aca="false">F19+F29</f>
        <v>14036747</v>
      </c>
      <c r="G31" s="54" t="n">
        <f aca="false">G19+G29</f>
        <v>15572941</v>
      </c>
      <c r="H31" s="54" t="n">
        <f aca="false">H19+H29</f>
        <v>17769835</v>
      </c>
      <c r="I31" s="54" t="n">
        <f aca="false">I19+I29</f>
        <v>17589712</v>
      </c>
      <c r="J31" s="54" t="n">
        <f aca="false">J19+J29</f>
        <v>16950265</v>
      </c>
      <c r="K31" s="54" t="n">
        <f aca="false">K19+K29</f>
        <v>15620583</v>
      </c>
      <c r="L31" s="54" t="n">
        <f aca="false">L19+L29</f>
        <v>15176716</v>
      </c>
      <c r="M31" s="54" t="n">
        <f aca="false">M19+M29</f>
        <v>15507387.9557647</v>
      </c>
      <c r="N31" s="54" t="n">
        <f aca="false">N19+N29</f>
        <v>15215514.5740291</v>
      </c>
      <c r="O31" s="54" t="n">
        <f aca="false">O19+O29</f>
        <v>15342226.5432595</v>
      </c>
      <c r="P31" s="54" t="n">
        <f aca="false">P19+P29</f>
        <v>15856881.6493602</v>
      </c>
      <c r="Q31" s="54" t="n">
        <f aca="false">Q19+Q29</f>
        <v>16388855.2140392</v>
      </c>
    </row>
    <row r="33" customFormat="false" ht="15" hidden="false" customHeight="true" outlineLevel="0" collapsed="false">
      <c r="A33" s="6" t="s">
        <v>300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customFormat="false" ht="15" hidden="false" customHeight="true" outlineLevel="0" collapsed="false">
      <c r="A34" s="8" t="s">
        <v>301</v>
      </c>
      <c r="B34" s="35" t="n">
        <v>2222747</v>
      </c>
      <c r="C34" s="35" t="n">
        <v>2441002</v>
      </c>
      <c r="D34" s="35" t="n">
        <v>2592483</v>
      </c>
      <c r="E34" s="35" t="n">
        <v>2754128</v>
      </c>
      <c r="F34" s="35" t="n">
        <v>4013941</v>
      </c>
      <c r="G34" s="35" t="n">
        <v>4103912</v>
      </c>
      <c r="H34" s="35" t="n">
        <v>4176757</v>
      </c>
      <c r="I34" s="35" t="n">
        <v>4180241</v>
      </c>
      <c r="J34" s="35" t="n">
        <v>4227156</v>
      </c>
      <c r="K34" s="35" t="n">
        <v>4226115</v>
      </c>
      <c r="L34" s="35" t="n">
        <v>4190499</v>
      </c>
      <c r="M34" s="35" t="n">
        <v>4140499</v>
      </c>
      <c r="N34" s="35" t="n">
        <v>4090499</v>
      </c>
      <c r="O34" s="35" t="n">
        <v>4040499</v>
      </c>
      <c r="P34" s="35" t="n">
        <v>3990499</v>
      </c>
      <c r="Q34" s="35" t="n">
        <v>3940499</v>
      </c>
    </row>
    <row r="35" customFormat="false" ht="15" hidden="false" customHeight="true" outlineLevel="0" collapsed="false">
      <c r="A35" s="8" t="s">
        <v>302</v>
      </c>
      <c r="B35" s="35" t="n">
        <v>1451736</v>
      </c>
      <c r="C35" s="35" t="n">
        <v>1729733</v>
      </c>
      <c r="D35" s="35" t="n">
        <v>2316393</v>
      </c>
      <c r="E35" s="35" t="n">
        <v>3543062</v>
      </c>
      <c r="F35" s="35" t="n">
        <v>4409464</v>
      </c>
      <c r="G35" s="35" t="n">
        <v>5099743</v>
      </c>
      <c r="H35" s="35" t="n">
        <v>6144041</v>
      </c>
      <c r="I35" s="35" t="n">
        <v>5841128</v>
      </c>
      <c r="J35" s="35" t="n">
        <v>5063981</v>
      </c>
      <c r="K35" s="35" t="n">
        <v>4791648</v>
      </c>
      <c r="L35" s="35" t="n">
        <v>4500722</v>
      </c>
      <c r="M35" s="27" t="n">
        <f aca="false">L35+IS!M33-Assumptions!B73*Assumptions!B74</f>
        <v>4625172.4316884</v>
      </c>
      <c r="N35" s="27" t="n">
        <f aca="false">M35+IS!N33-Assumptions!C73*Assumptions!C74</f>
        <v>4756797.27688062</v>
      </c>
      <c r="O35" s="27" t="n">
        <f aca="false">N35+IS!O33-Assumptions!D73*Assumptions!D74</f>
        <v>4898671.28324829</v>
      </c>
      <c r="P35" s="27" t="n">
        <f aca="false">O35+IS!P33-Assumptions!E73*Assumptions!E74</f>
        <v>5050453.35703286</v>
      </c>
      <c r="Q35" s="27" t="n">
        <f aca="false">P35+IS!Q33-Assumptions!F73*Assumptions!F74</f>
        <v>5214223.69715934</v>
      </c>
    </row>
    <row r="36" customFormat="false" ht="15" hidden="false" customHeight="true" outlineLevel="0" collapsed="false">
      <c r="A36" s="8" t="s">
        <v>303</v>
      </c>
      <c r="B36" s="35" t="n">
        <v>-14530</v>
      </c>
      <c r="C36" s="35" t="n">
        <v>-12586</v>
      </c>
      <c r="D36" s="35" t="n">
        <v>-14530</v>
      </c>
      <c r="E36" s="35" t="n">
        <v>-19510</v>
      </c>
      <c r="F36" s="35" t="n">
        <v>-19510</v>
      </c>
      <c r="G36" s="35" t="n">
        <v>70047</v>
      </c>
      <c r="H36" s="35" t="n">
        <v>79088</v>
      </c>
      <c r="I36" s="35" t="n">
        <v>-17674</v>
      </c>
      <c r="J36" s="35" t="n">
        <v>-12542</v>
      </c>
      <c r="K36" s="35" t="n">
        <v>9549</v>
      </c>
      <c r="L36" s="35" t="n">
        <v>69975</v>
      </c>
      <c r="M36" s="35" t="n">
        <v>70000</v>
      </c>
      <c r="N36" s="35" t="n">
        <v>70000</v>
      </c>
      <c r="O36" s="35" t="n">
        <v>70000</v>
      </c>
      <c r="P36" s="35" t="n">
        <v>70000</v>
      </c>
      <c r="Q36" s="35" t="n">
        <v>70000</v>
      </c>
    </row>
    <row r="37" customFormat="false" ht="15" hidden="false" customHeight="true" outlineLevel="0" collapsed="false">
      <c r="A37" s="3" t="s">
        <v>304</v>
      </c>
      <c r="B37" s="54" t="n">
        <f aca="false">B34+B35+B36</f>
        <v>3659953</v>
      </c>
      <c r="C37" s="54" t="n">
        <f aca="false">C34+C35+C36</f>
        <v>4158149</v>
      </c>
      <c r="D37" s="54" t="n">
        <f aca="false">D34+D35+D36</f>
        <v>4894346</v>
      </c>
      <c r="E37" s="54" t="n">
        <f aca="false">E34+E35+E36</f>
        <v>6277680</v>
      </c>
      <c r="F37" s="54" t="n">
        <f aca="false">F34+F35+F36</f>
        <v>8403895</v>
      </c>
      <c r="G37" s="54" t="n">
        <f aca="false">G34+G35+G36</f>
        <v>9273702</v>
      </c>
      <c r="H37" s="54" t="n">
        <f aca="false">H34+H35+H36</f>
        <v>10399886</v>
      </c>
      <c r="I37" s="54" t="n">
        <f aca="false">I34+I35+I36</f>
        <v>10003695</v>
      </c>
      <c r="J37" s="54" t="n">
        <f aca="false">J34+J35+J36</f>
        <v>9278595</v>
      </c>
      <c r="K37" s="54" t="n">
        <f aca="false">K34+K35+K36</f>
        <v>9027312</v>
      </c>
      <c r="L37" s="54" t="n">
        <f aca="false">L34+L35+L36</f>
        <v>8761196</v>
      </c>
      <c r="M37" s="54" t="n">
        <f aca="false">M34+M35+M36</f>
        <v>8835671.4316884</v>
      </c>
      <c r="N37" s="54" t="n">
        <f aca="false">N34+N35+N36</f>
        <v>8917296.27688062</v>
      </c>
      <c r="O37" s="54" t="n">
        <f aca="false">O34+O35+O36</f>
        <v>9009170.28324829</v>
      </c>
      <c r="P37" s="54" t="n">
        <f aca="false">P34+P35+P36</f>
        <v>9110952.35703286</v>
      </c>
      <c r="Q37" s="54" t="n">
        <f aca="false">Q34+Q35+Q36</f>
        <v>9224722.69715934</v>
      </c>
    </row>
    <row r="39" customFormat="false" ht="15" hidden="false" customHeight="true" outlineLevel="0" collapsed="false">
      <c r="A39" s="6" t="s">
        <v>305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customFormat="false" ht="15" hidden="false" customHeight="true" outlineLevel="0" collapsed="false">
      <c r="A40" s="8" t="s">
        <v>306</v>
      </c>
      <c r="B40" s="35" t="n">
        <v>2858622</v>
      </c>
      <c r="C40" s="35" t="n">
        <v>3265469</v>
      </c>
      <c r="D40" s="35" t="n">
        <v>3348213</v>
      </c>
      <c r="E40" s="35" t="n">
        <v>3324381</v>
      </c>
      <c r="F40" s="35" t="n">
        <v>3872125</v>
      </c>
      <c r="G40" s="35" t="n">
        <v>4811131</v>
      </c>
      <c r="H40" s="35" t="n">
        <v>5456605</v>
      </c>
      <c r="I40" s="35" t="n">
        <v>5963820</v>
      </c>
      <c r="J40" s="35" t="n">
        <v>6002617</v>
      </c>
      <c r="K40" s="35" t="n">
        <v>5343549</v>
      </c>
      <c r="L40" s="35" t="n">
        <v>4856580</v>
      </c>
      <c r="M40" s="27" t="n">
        <f aca="false">Assumptions!B54*0.85</f>
        <v>4661060.85</v>
      </c>
      <c r="N40" s="27" t="n">
        <f aca="false">Assumptions!C54*0.85</f>
        <v>4576060.85</v>
      </c>
      <c r="O40" s="27" t="n">
        <f aca="false">Assumptions!D54*0.85</f>
        <v>4491060.85</v>
      </c>
      <c r="P40" s="27" t="n">
        <f aca="false">Assumptions!E54*0.85</f>
        <v>4448560.85</v>
      </c>
      <c r="Q40" s="27" t="n">
        <f aca="false">Assumptions!F54*0.85</f>
        <v>4406060.85</v>
      </c>
    </row>
    <row r="41" customFormat="false" ht="15" hidden="false" customHeight="true" outlineLevel="0" collapsed="false">
      <c r="A41" s="8" t="s">
        <v>307</v>
      </c>
      <c r="B41" s="35" t="n">
        <v>168211</v>
      </c>
      <c r="C41" s="35" t="n">
        <v>26408</v>
      </c>
      <c r="D41" s="35" t="n">
        <v>446895</v>
      </c>
      <c r="E41" s="35" t="n">
        <v>567365</v>
      </c>
      <c r="F41" s="35" t="n">
        <v>623893</v>
      </c>
      <c r="G41" s="35" t="n">
        <v>104810</v>
      </c>
      <c r="H41" s="35" t="n">
        <v>310866</v>
      </c>
      <c r="I41" s="35" t="n">
        <v>388975</v>
      </c>
      <c r="J41" s="35" t="n">
        <v>405133</v>
      </c>
      <c r="K41" s="35" t="n">
        <v>4145</v>
      </c>
      <c r="L41" s="35" t="n">
        <v>331250</v>
      </c>
      <c r="M41" s="27" t="n">
        <f aca="false">Assumptions!B55</f>
        <v>246624.7841558</v>
      </c>
      <c r="N41" s="27" t="n">
        <f aca="false">Assumptions!C55</f>
        <v>304024.93896358</v>
      </c>
      <c r="O41" s="27" t="n">
        <f aca="false">Assumptions!D55</f>
        <v>515675.932595909</v>
      </c>
      <c r="P41" s="27" t="n">
        <f aca="false">Assumptions!E55</f>
        <v>721918.858811338</v>
      </c>
      <c r="Q41" s="27" t="n">
        <f aca="false">Assumptions!F55</f>
        <v>920673.518684861</v>
      </c>
    </row>
    <row r="42" customFormat="false" ht="15" hidden="false" customHeight="true" outlineLevel="0" collapsed="false">
      <c r="A42" s="8" t="s">
        <v>308</v>
      </c>
      <c r="B42" s="35" t="n">
        <v>0</v>
      </c>
      <c r="C42" s="35" t="n">
        <v>0</v>
      </c>
      <c r="D42" s="35" t="n">
        <v>0</v>
      </c>
      <c r="E42" s="35" t="n">
        <v>0</v>
      </c>
      <c r="F42" s="35" t="n">
        <v>364928</v>
      </c>
      <c r="G42" s="35" t="n">
        <v>328535</v>
      </c>
      <c r="H42" s="35" t="n">
        <v>356695</v>
      </c>
      <c r="I42" s="35" t="n">
        <v>242599</v>
      </c>
      <c r="J42" s="35" t="n">
        <v>186522</v>
      </c>
      <c r="K42" s="35" t="n">
        <v>170018</v>
      </c>
      <c r="L42" s="35" t="n">
        <v>84567</v>
      </c>
      <c r="M42" s="27" t="n">
        <f aca="false">Assumptions!B25</f>
        <v>40000</v>
      </c>
      <c r="N42" s="27" t="n">
        <f aca="false">Assumptions!C25</f>
        <v>15000</v>
      </c>
      <c r="O42" s="27" t="n">
        <f aca="false">Assumptions!D25</f>
        <v>0</v>
      </c>
      <c r="P42" s="27" t="n">
        <f aca="false">Assumptions!E25</f>
        <v>0</v>
      </c>
      <c r="Q42" s="27" t="n">
        <f aca="false">Assumptions!F25</f>
        <v>0</v>
      </c>
    </row>
    <row r="43" customFormat="false" ht="15" hidden="false" customHeight="true" outlineLevel="0" collapsed="false">
      <c r="A43" s="8" t="s">
        <v>309</v>
      </c>
      <c r="B43" s="35" t="n">
        <v>4330</v>
      </c>
      <c r="C43" s="35" t="n">
        <v>5061</v>
      </c>
      <c r="D43" s="35" t="n">
        <v>4876</v>
      </c>
      <c r="E43" s="35" t="n">
        <v>4500</v>
      </c>
      <c r="F43" s="35" t="n">
        <v>4200</v>
      </c>
      <c r="G43" s="35" t="n">
        <v>35000</v>
      </c>
      <c r="H43" s="35" t="n">
        <v>100684</v>
      </c>
      <c r="I43" s="35" t="n">
        <v>90000</v>
      </c>
      <c r="J43" s="35" t="n">
        <v>80383</v>
      </c>
      <c r="K43" s="35" t="n">
        <v>70220</v>
      </c>
      <c r="L43" s="35" t="n">
        <v>53270</v>
      </c>
      <c r="M43" s="35" t="n">
        <v>45000</v>
      </c>
      <c r="N43" s="35" t="n">
        <v>45000</v>
      </c>
      <c r="O43" s="35" t="n">
        <v>45000</v>
      </c>
      <c r="P43" s="35" t="n">
        <v>45000</v>
      </c>
      <c r="Q43" s="35" t="n">
        <v>45000</v>
      </c>
    </row>
    <row r="44" customFormat="false" ht="15" hidden="false" customHeight="true" outlineLevel="0" collapsed="false">
      <c r="A44" s="8" t="s">
        <v>310</v>
      </c>
      <c r="B44" s="35" t="n">
        <v>0</v>
      </c>
      <c r="C44" s="35" t="n">
        <v>0</v>
      </c>
      <c r="D44" s="35" t="n">
        <v>7263</v>
      </c>
      <c r="E44" s="35" t="n">
        <v>26428</v>
      </c>
      <c r="F44" s="35" t="n">
        <v>34546</v>
      </c>
      <c r="G44" s="35" t="n">
        <v>63109</v>
      </c>
      <c r="H44" s="35" t="n">
        <v>82216</v>
      </c>
      <c r="I44" s="35" t="n">
        <v>73479</v>
      </c>
      <c r="J44" s="35" t="n">
        <v>88007</v>
      </c>
      <c r="K44" s="35" t="n">
        <v>62413</v>
      </c>
      <c r="L44" s="35" t="n">
        <v>67523</v>
      </c>
      <c r="M44" s="35" t="n">
        <v>55000</v>
      </c>
      <c r="N44" s="35" t="n">
        <v>45000</v>
      </c>
      <c r="O44" s="35" t="n">
        <v>35000</v>
      </c>
      <c r="P44" s="35" t="n">
        <v>30000</v>
      </c>
      <c r="Q44" s="35" t="n">
        <v>25000</v>
      </c>
    </row>
    <row r="45" customFormat="false" ht="15" hidden="false" customHeight="true" outlineLevel="0" collapsed="false">
      <c r="A45" s="8" t="s">
        <v>311</v>
      </c>
      <c r="B45" s="35" t="n">
        <v>0</v>
      </c>
      <c r="C45" s="35" t="n">
        <v>0</v>
      </c>
      <c r="D45" s="35" t="n">
        <v>0</v>
      </c>
      <c r="E45" s="35" t="n">
        <v>0</v>
      </c>
      <c r="F45" s="35" t="n">
        <v>37775</v>
      </c>
      <c r="G45" s="35" t="n">
        <v>42879</v>
      </c>
      <c r="H45" s="35" t="n">
        <v>48316</v>
      </c>
      <c r="I45" s="35" t="n">
        <v>42016</v>
      </c>
      <c r="J45" s="35" t="n">
        <v>40614</v>
      </c>
      <c r="K45" s="35" t="n">
        <v>37449</v>
      </c>
      <c r="L45" s="35" t="n">
        <v>31352</v>
      </c>
      <c r="M45" s="35" t="n">
        <v>28000</v>
      </c>
      <c r="N45" s="35" t="n">
        <v>28000</v>
      </c>
      <c r="O45" s="35" t="n">
        <v>28000</v>
      </c>
      <c r="P45" s="35" t="n">
        <v>28000</v>
      </c>
      <c r="Q45" s="35" t="n">
        <v>28000</v>
      </c>
    </row>
    <row r="46" customFormat="false" ht="15" hidden="false" customHeight="true" outlineLevel="0" collapsed="false">
      <c r="A46" s="8" t="s">
        <v>312</v>
      </c>
      <c r="B46" s="35" t="n">
        <v>6980</v>
      </c>
      <c r="C46" s="35" t="n">
        <v>12717</v>
      </c>
      <c r="D46" s="35" t="n">
        <v>15000</v>
      </c>
      <c r="E46" s="35" t="n">
        <v>18000</v>
      </c>
      <c r="F46" s="35" t="n">
        <v>14391</v>
      </c>
      <c r="G46" s="35" t="n">
        <v>14123</v>
      </c>
      <c r="H46" s="35" t="n">
        <v>15000</v>
      </c>
      <c r="I46" s="35" t="n">
        <v>14000</v>
      </c>
      <c r="J46" s="35" t="n">
        <v>11070</v>
      </c>
      <c r="K46" s="35" t="n">
        <v>12305</v>
      </c>
      <c r="L46" s="35" t="n">
        <v>11583</v>
      </c>
      <c r="M46" s="35" t="n">
        <v>11000</v>
      </c>
      <c r="N46" s="35" t="n">
        <v>11000</v>
      </c>
      <c r="O46" s="35" t="n">
        <v>11000</v>
      </c>
      <c r="P46" s="35" t="n">
        <v>11000</v>
      </c>
      <c r="Q46" s="35" t="n">
        <v>11000</v>
      </c>
    </row>
    <row r="47" customFormat="false" ht="15" hidden="false" customHeight="true" outlineLevel="0" collapsed="false">
      <c r="A47" s="8" t="s">
        <v>313</v>
      </c>
      <c r="B47" s="35" t="n">
        <v>5856</v>
      </c>
      <c r="C47" s="35" t="n">
        <v>4126</v>
      </c>
      <c r="D47" s="35" t="n">
        <v>6574</v>
      </c>
      <c r="E47" s="35" t="n">
        <v>0</v>
      </c>
      <c r="F47" s="35" t="n">
        <v>3361</v>
      </c>
      <c r="G47" s="35" t="n">
        <v>8023</v>
      </c>
      <c r="H47" s="35" t="n">
        <v>7000</v>
      </c>
      <c r="I47" s="35" t="n">
        <v>6000</v>
      </c>
      <c r="J47" s="35" t="n">
        <v>5000</v>
      </c>
      <c r="K47" s="35" t="n">
        <v>45462</v>
      </c>
      <c r="L47" s="35" t="n">
        <v>32011</v>
      </c>
      <c r="M47" s="35" t="n">
        <v>25000</v>
      </c>
      <c r="N47" s="35" t="n">
        <v>25000</v>
      </c>
      <c r="O47" s="35" t="n">
        <v>25000</v>
      </c>
      <c r="P47" s="35" t="n">
        <v>25000</v>
      </c>
      <c r="Q47" s="35" t="n">
        <v>25000</v>
      </c>
    </row>
    <row r="48" customFormat="false" ht="15" hidden="false" customHeight="true" outlineLevel="0" collapsed="false">
      <c r="A48" s="3" t="s">
        <v>314</v>
      </c>
      <c r="B48" s="54" t="n">
        <f aca="false">B40+B41+B42+B43+B44+B45+B46+B47</f>
        <v>3043999</v>
      </c>
      <c r="C48" s="54" t="n">
        <f aca="false">C40+C41+C42+C43+C44+C45+C46+C47</f>
        <v>3313781</v>
      </c>
      <c r="D48" s="54" t="n">
        <f aca="false">D40+D41+D42+D43+D44+D45+D46+D47</f>
        <v>3828821</v>
      </c>
      <c r="E48" s="54" t="n">
        <f aca="false">E40+E41+E42+E43+E44+E45+E46+E47</f>
        <v>3940674</v>
      </c>
      <c r="F48" s="54" t="n">
        <f aca="false">F40+F41+F42+F43+F44+F45+F46+F47</f>
        <v>4955219</v>
      </c>
      <c r="G48" s="54" t="n">
        <f aca="false">G40+G41+G42+G43+G44+G45+G46+G47</f>
        <v>5407610</v>
      </c>
      <c r="H48" s="54" t="n">
        <f aca="false">H40+H41+H42+H43+H44+H45+H46+H47</f>
        <v>6377382</v>
      </c>
      <c r="I48" s="54" t="n">
        <f aca="false">I40+I41+I42+I43+I44+I45+I46+I47</f>
        <v>6820889</v>
      </c>
      <c r="J48" s="54" t="n">
        <f aca="false">J40+J41+J42+J43+J44+J45+J46+J47</f>
        <v>6819346</v>
      </c>
      <c r="K48" s="54" t="n">
        <f aca="false">K40+K41+K42+K43+K44+K45+K46+K47</f>
        <v>5745561</v>
      </c>
      <c r="L48" s="54" t="n">
        <f aca="false">L40+L41+L42+L43+L44+L45+L46+L47</f>
        <v>5468136</v>
      </c>
      <c r="M48" s="54" t="n">
        <f aca="false">M40+M41+M42+M43+M44+M45+M46+M47</f>
        <v>5111685.6341558</v>
      </c>
      <c r="N48" s="54" t="n">
        <f aca="false">N40+N41+N42+N43+N44+N45+N46+N47</f>
        <v>5049085.78896358</v>
      </c>
      <c r="O48" s="54" t="n">
        <f aca="false">O40+O41+O42+O43+O44+O45+O46+O47</f>
        <v>5150736.78259591</v>
      </c>
      <c r="P48" s="54" t="n">
        <f aca="false">P40+P41+P42+P43+P44+P45+P46+P47</f>
        <v>5309479.70881134</v>
      </c>
      <c r="Q48" s="54" t="n">
        <f aca="false">Q40+Q41+Q42+Q43+Q44+Q45+Q46+Q47</f>
        <v>5460734.36868486</v>
      </c>
    </row>
    <row r="50" customFormat="false" ht="15" hidden="false" customHeight="true" outlineLevel="0" collapsed="false">
      <c r="A50" s="6" t="s">
        <v>315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customFormat="false" ht="15" hidden="false" customHeight="true" outlineLevel="0" collapsed="false">
      <c r="A51" s="8" t="s">
        <v>316</v>
      </c>
      <c r="B51" s="35" t="n">
        <v>239151</v>
      </c>
      <c r="C51" s="35" t="n">
        <v>227454</v>
      </c>
      <c r="D51" s="35" t="n">
        <v>233288</v>
      </c>
      <c r="E51" s="35" t="n">
        <v>403952</v>
      </c>
      <c r="F51" s="35" t="n">
        <v>436447</v>
      </c>
      <c r="G51" s="35" t="n">
        <v>590071</v>
      </c>
      <c r="H51" s="35" t="n">
        <v>643460</v>
      </c>
      <c r="I51" s="35" t="n">
        <v>613277</v>
      </c>
      <c r="J51" s="35" t="n">
        <v>651371</v>
      </c>
      <c r="K51" s="35" t="n">
        <v>644320</v>
      </c>
      <c r="L51" s="35" t="n">
        <v>777021</v>
      </c>
      <c r="M51" s="27" t="n">
        <f aca="false">Assumptions!B54*0.15</f>
        <v>822540.15</v>
      </c>
      <c r="N51" s="27" t="n">
        <f aca="false">Assumptions!C54*0.15</f>
        <v>807540.15</v>
      </c>
      <c r="O51" s="27" t="n">
        <f aca="false">Assumptions!D54*0.15</f>
        <v>792540.15</v>
      </c>
      <c r="P51" s="27" t="n">
        <f aca="false">Assumptions!E54*0.15</f>
        <v>785040.15</v>
      </c>
      <c r="Q51" s="27" t="n">
        <f aca="false">Assumptions!F54*0.15</f>
        <v>777540.15</v>
      </c>
    </row>
    <row r="52" customFormat="false" ht="15" hidden="false" customHeight="true" outlineLevel="0" collapsed="false">
      <c r="A52" s="8" t="s">
        <v>317</v>
      </c>
      <c r="B52" s="35" t="n">
        <v>72412</v>
      </c>
      <c r="C52" s="35" t="n">
        <v>92704</v>
      </c>
      <c r="D52" s="35" t="n">
        <v>100879</v>
      </c>
      <c r="E52" s="35" t="n">
        <v>115458</v>
      </c>
      <c r="F52" s="35" t="n">
        <v>116544</v>
      </c>
      <c r="G52" s="35" t="n">
        <v>131888</v>
      </c>
      <c r="H52" s="35" t="n">
        <v>143539</v>
      </c>
      <c r="I52" s="35" t="n">
        <v>161498</v>
      </c>
      <c r="J52" s="35" t="n">
        <v>105717</v>
      </c>
      <c r="K52" s="35" t="n">
        <v>101760</v>
      </c>
      <c r="L52" s="35" t="n">
        <v>90306</v>
      </c>
      <c r="M52" s="35" t="n">
        <v>90000</v>
      </c>
      <c r="N52" s="35" t="n">
        <v>90000</v>
      </c>
      <c r="O52" s="35" t="n">
        <v>90000</v>
      </c>
      <c r="P52" s="35" t="n">
        <v>90000</v>
      </c>
      <c r="Q52" s="35" t="n">
        <v>90000</v>
      </c>
    </row>
    <row r="53" customFormat="false" ht="15" hidden="false" customHeight="true" outlineLevel="0" collapsed="false">
      <c r="A53" s="8" t="s">
        <v>318</v>
      </c>
      <c r="B53" s="35" t="n">
        <v>27049</v>
      </c>
      <c r="C53" s="35" t="n">
        <v>29975</v>
      </c>
      <c r="D53" s="35" t="n">
        <v>32000</v>
      </c>
      <c r="E53" s="35" t="n">
        <v>35000</v>
      </c>
      <c r="F53" s="35" t="n">
        <v>39575</v>
      </c>
      <c r="G53" s="35" t="n">
        <v>41218</v>
      </c>
      <c r="H53" s="35" t="n">
        <v>43000</v>
      </c>
      <c r="I53" s="35" t="n">
        <v>44000</v>
      </c>
      <c r="J53" s="35" t="n">
        <v>44000</v>
      </c>
      <c r="K53" s="35" t="n">
        <v>43000</v>
      </c>
      <c r="L53" s="35" t="n">
        <v>42283</v>
      </c>
      <c r="M53" s="35" t="n">
        <v>42000</v>
      </c>
      <c r="N53" s="35" t="n">
        <v>42000</v>
      </c>
      <c r="O53" s="35" t="n">
        <v>42000</v>
      </c>
      <c r="P53" s="35" t="n">
        <v>42000</v>
      </c>
      <c r="Q53" s="35" t="n">
        <v>42000</v>
      </c>
    </row>
    <row r="54" customFormat="false" ht="15" hidden="false" customHeight="true" outlineLevel="0" collapsed="false">
      <c r="A54" s="8" t="s">
        <v>319</v>
      </c>
      <c r="B54" s="35" t="n">
        <v>13073</v>
      </c>
      <c r="C54" s="35" t="n">
        <v>14123</v>
      </c>
      <c r="D54" s="35" t="n">
        <v>14803</v>
      </c>
      <c r="E54" s="35" t="n">
        <v>15479</v>
      </c>
      <c r="F54" s="35" t="n">
        <v>16920</v>
      </c>
      <c r="G54" s="35" t="n">
        <v>17621</v>
      </c>
      <c r="H54" s="35" t="n">
        <v>18017</v>
      </c>
      <c r="I54" s="35" t="n">
        <v>19281</v>
      </c>
      <c r="J54" s="35" t="n">
        <v>21182</v>
      </c>
      <c r="K54" s="35" t="n">
        <v>21002</v>
      </c>
      <c r="L54" s="35" t="n">
        <v>19877</v>
      </c>
      <c r="M54" s="35" t="n">
        <v>20000</v>
      </c>
      <c r="N54" s="35" t="n">
        <v>20000</v>
      </c>
      <c r="O54" s="35" t="n">
        <v>20000</v>
      </c>
      <c r="P54" s="35" t="n">
        <v>20000</v>
      </c>
      <c r="Q54" s="35" t="n">
        <v>20000</v>
      </c>
    </row>
    <row r="55" customFormat="false" ht="15" hidden="false" customHeight="true" outlineLevel="0" collapsed="false">
      <c r="A55" s="8" t="s">
        <v>320</v>
      </c>
      <c r="B55" s="35" t="n">
        <v>39183</v>
      </c>
      <c r="C55" s="35" t="n">
        <v>47561</v>
      </c>
      <c r="D55" s="35" t="n">
        <v>50000</v>
      </c>
      <c r="E55" s="35" t="n">
        <v>55000</v>
      </c>
      <c r="F55" s="35" t="n">
        <v>18658</v>
      </c>
      <c r="G55" s="35" t="n">
        <v>19624</v>
      </c>
      <c r="H55" s="35" t="n">
        <v>20000</v>
      </c>
      <c r="I55" s="35" t="n">
        <v>18000</v>
      </c>
      <c r="J55" s="35" t="n">
        <v>12353</v>
      </c>
      <c r="K55" s="35" t="n">
        <v>12326</v>
      </c>
      <c r="L55" s="35" t="n">
        <v>12245</v>
      </c>
      <c r="M55" s="35" t="n">
        <v>12000</v>
      </c>
      <c r="N55" s="35" t="n">
        <v>12000</v>
      </c>
      <c r="O55" s="35" t="n">
        <v>12000</v>
      </c>
      <c r="P55" s="35" t="n">
        <v>12000</v>
      </c>
      <c r="Q55" s="35" t="n">
        <v>12000</v>
      </c>
    </row>
    <row r="56" customFormat="false" ht="15" hidden="false" customHeight="true" outlineLevel="0" collapsed="false">
      <c r="A56" s="8" t="s">
        <v>321</v>
      </c>
      <c r="B56" s="35" t="n">
        <v>8008</v>
      </c>
      <c r="C56" s="35" t="n">
        <v>8464</v>
      </c>
      <c r="D56" s="35" t="n">
        <v>9547</v>
      </c>
      <c r="E56" s="35" t="n">
        <v>9875</v>
      </c>
      <c r="F56" s="35" t="n">
        <v>12011</v>
      </c>
      <c r="G56" s="35" t="n">
        <v>12000</v>
      </c>
      <c r="H56" s="35" t="n">
        <v>11565</v>
      </c>
      <c r="I56" s="35" t="n">
        <v>12000</v>
      </c>
      <c r="J56" s="35" t="n">
        <v>13000</v>
      </c>
      <c r="K56" s="35" t="n">
        <v>13000</v>
      </c>
      <c r="L56" s="35" t="n">
        <v>14749</v>
      </c>
      <c r="M56" s="35" t="n">
        <v>14000</v>
      </c>
      <c r="N56" s="35" t="n">
        <v>14000</v>
      </c>
      <c r="O56" s="35" t="n">
        <v>14000</v>
      </c>
      <c r="P56" s="35" t="n">
        <v>14000</v>
      </c>
      <c r="Q56" s="35" t="n">
        <v>14000</v>
      </c>
    </row>
    <row r="57" customFormat="false" ht="15" hidden="false" customHeight="true" outlineLevel="0" collapsed="false">
      <c r="A57" s="8" t="s">
        <v>322</v>
      </c>
      <c r="B57" s="35" t="n">
        <v>0</v>
      </c>
      <c r="C57" s="35" t="n">
        <v>0</v>
      </c>
      <c r="D57" s="35" t="n">
        <v>0</v>
      </c>
      <c r="E57" s="35" t="n">
        <v>0</v>
      </c>
      <c r="F57" s="35" t="n">
        <v>3734</v>
      </c>
      <c r="G57" s="35" t="n">
        <v>15366</v>
      </c>
      <c r="H57" s="35" t="n">
        <v>5000</v>
      </c>
      <c r="I57" s="35" t="n">
        <v>4000</v>
      </c>
      <c r="J57" s="35" t="n">
        <v>7001</v>
      </c>
      <c r="K57" s="35" t="n">
        <v>3684</v>
      </c>
      <c r="L57" s="35" t="n">
        <v>2739</v>
      </c>
      <c r="M57" s="35" t="n">
        <v>2000</v>
      </c>
      <c r="N57" s="35" t="n">
        <v>2000</v>
      </c>
      <c r="O57" s="35" t="n">
        <v>2000</v>
      </c>
      <c r="P57" s="35" t="n">
        <v>2000</v>
      </c>
      <c r="Q57" s="35" t="n">
        <v>2000</v>
      </c>
    </row>
    <row r="58" customFormat="false" ht="15" hidden="false" customHeight="true" outlineLevel="0" collapsed="false">
      <c r="A58" s="8" t="s">
        <v>323</v>
      </c>
      <c r="B58" s="35" t="n">
        <v>0</v>
      </c>
      <c r="C58" s="35" t="n">
        <v>0</v>
      </c>
      <c r="D58" s="35" t="n">
        <v>0</v>
      </c>
      <c r="E58" s="35" t="n">
        <v>0</v>
      </c>
      <c r="F58" s="35" t="n">
        <v>0</v>
      </c>
      <c r="G58" s="35" t="n">
        <v>18000</v>
      </c>
      <c r="H58" s="35" t="n">
        <v>2808</v>
      </c>
      <c r="I58" s="35" t="n">
        <v>3000</v>
      </c>
      <c r="J58" s="35" t="n">
        <v>4000</v>
      </c>
      <c r="K58" s="35" t="n">
        <v>5000</v>
      </c>
      <c r="L58" s="35" t="n">
        <v>5548</v>
      </c>
      <c r="M58" s="35" t="n">
        <v>5000</v>
      </c>
      <c r="N58" s="35" t="n">
        <v>5000</v>
      </c>
      <c r="O58" s="35" t="n">
        <v>5000</v>
      </c>
      <c r="P58" s="35" t="n">
        <v>5000</v>
      </c>
      <c r="Q58" s="35" t="n">
        <v>5000</v>
      </c>
    </row>
    <row r="59" customFormat="false" ht="15" hidden="false" customHeight="true" outlineLevel="0" collapsed="false">
      <c r="A59" s="8" t="s">
        <v>324</v>
      </c>
      <c r="B59" s="35" t="n">
        <v>0</v>
      </c>
      <c r="C59" s="35" t="n">
        <v>0</v>
      </c>
      <c r="D59" s="35" t="n">
        <v>0</v>
      </c>
      <c r="E59" s="35" t="n">
        <v>0</v>
      </c>
      <c r="F59" s="35" t="n">
        <v>0</v>
      </c>
      <c r="G59" s="35" t="n">
        <v>0</v>
      </c>
      <c r="H59" s="35" t="n">
        <v>0</v>
      </c>
      <c r="I59" s="35" t="n">
        <v>38116</v>
      </c>
      <c r="J59" s="35" t="n">
        <v>23706</v>
      </c>
      <c r="K59" s="35" t="n">
        <v>0</v>
      </c>
      <c r="L59" s="35" t="n">
        <v>0</v>
      </c>
      <c r="M59" s="35" t="n">
        <v>0</v>
      </c>
      <c r="N59" s="35" t="n">
        <v>0</v>
      </c>
      <c r="O59" s="35" t="n">
        <v>0</v>
      </c>
      <c r="P59" s="35" t="n">
        <v>0</v>
      </c>
      <c r="Q59" s="35" t="n">
        <v>0</v>
      </c>
    </row>
    <row r="60" customFormat="false" ht="15" hidden="false" customHeight="true" outlineLevel="0" collapsed="false">
      <c r="A60" s="8" t="s">
        <v>325</v>
      </c>
      <c r="B60" s="35" t="n">
        <v>0</v>
      </c>
      <c r="C60" s="35" t="n">
        <v>0</v>
      </c>
      <c r="D60" s="35" t="n">
        <v>0</v>
      </c>
      <c r="E60" s="35" t="n">
        <v>0</v>
      </c>
      <c r="F60" s="35" t="n">
        <v>0</v>
      </c>
      <c r="G60" s="35" t="n">
        <v>0</v>
      </c>
      <c r="H60" s="35" t="n">
        <v>0</v>
      </c>
      <c r="I60" s="35" t="n">
        <v>0</v>
      </c>
      <c r="J60" s="35" t="n">
        <v>0</v>
      </c>
      <c r="K60" s="35" t="n">
        <v>0</v>
      </c>
      <c r="L60" s="35" t="n">
        <v>19392</v>
      </c>
      <c r="M60" s="35" t="n">
        <v>15000</v>
      </c>
      <c r="N60" s="35" t="n">
        <v>15000</v>
      </c>
      <c r="O60" s="35" t="n">
        <v>15000</v>
      </c>
      <c r="P60" s="35" t="n">
        <v>15000</v>
      </c>
      <c r="Q60" s="35" t="n">
        <v>15000</v>
      </c>
    </row>
    <row r="61" customFormat="false" ht="15" hidden="false" customHeight="true" outlineLevel="0" collapsed="false">
      <c r="A61" s="3" t="s">
        <v>326</v>
      </c>
      <c r="B61" s="54" t="n">
        <f aca="false">B51+B52+B53+B54+B55+B56+B57+B58+B59+B60</f>
        <v>398876</v>
      </c>
      <c r="C61" s="54" t="n">
        <f aca="false">C51+C52+C53+C54+C55+C56+C57+C58+C59+C60</f>
        <v>420281</v>
      </c>
      <c r="D61" s="54" t="n">
        <f aca="false">D51+D52+D53+D54+D55+D56+D57+D58+D59+D60</f>
        <v>440517</v>
      </c>
      <c r="E61" s="54" t="n">
        <f aca="false">E51+E52+E53+E54+E55+E56+E57+E58+E59+E60</f>
        <v>634764</v>
      </c>
      <c r="F61" s="54" t="n">
        <f aca="false">F51+F52+F53+F54+F55+F56+F57+F58+F59+F60</f>
        <v>643889</v>
      </c>
      <c r="G61" s="54" t="n">
        <f aca="false">G51+G52+G53+G54+G55+G56+G57+G58+G59+G60</f>
        <v>845788</v>
      </c>
      <c r="H61" s="54" t="n">
        <f aca="false">H51+H52+H53+H54+H55+H56+H57+H58+H59+H60</f>
        <v>887389</v>
      </c>
      <c r="I61" s="54" t="n">
        <f aca="false">I51+I52+I53+I54+I55+I56+I57+I58+I59+I60</f>
        <v>913172</v>
      </c>
      <c r="J61" s="54" t="n">
        <f aca="false">J51+J52+J53+J54+J55+J56+J57+J58+J59+J60</f>
        <v>882330</v>
      </c>
      <c r="K61" s="54" t="n">
        <f aca="false">K51+K52+K53+K54+K55+K56+K57+K58+K59+K60</f>
        <v>844092</v>
      </c>
      <c r="L61" s="54" t="n">
        <f aca="false">L51+L52+L53+L54+L55+L56+L57+L58+L59+L60</f>
        <v>984160</v>
      </c>
      <c r="M61" s="54" t="n">
        <f aca="false">M51+M52+M53+M54+M55+M56+M57+M58+M59+M60</f>
        <v>1022540.15</v>
      </c>
      <c r="N61" s="54" t="n">
        <f aca="false">N51+N52+N53+N54+N55+N56+N57+N58+N59+N60</f>
        <v>1007540.15</v>
      </c>
      <c r="O61" s="54" t="n">
        <f aca="false">O51+O52+O53+O54+O55+O56+O57+O58+O59+O60</f>
        <v>992540.15</v>
      </c>
      <c r="P61" s="54" t="n">
        <f aca="false">P51+P52+P53+P54+P55+P56+P57+P58+P59+P60</f>
        <v>985040.15</v>
      </c>
      <c r="Q61" s="54" t="n">
        <f aca="false">Q51+Q52+Q53+Q54+Q55+Q56+Q57+Q58+Q59+Q60</f>
        <v>977540.15</v>
      </c>
    </row>
    <row r="63" customFormat="false" ht="15" hidden="false" customHeight="true" outlineLevel="0" collapsed="false">
      <c r="A63" s="3" t="s">
        <v>327</v>
      </c>
      <c r="B63" s="54" t="n">
        <f aca="false">B48+B61</f>
        <v>3442875</v>
      </c>
      <c r="C63" s="54" t="n">
        <f aca="false">C48+C61</f>
        <v>3734062</v>
      </c>
      <c r="D63" s="54" t="n">
        <f aca="false">D48+D61</f>
        <v>4269338</v>
      </c>
      <c r="E63" s="54" t="n">
        <f aca="false">E48+E61</f>
        <v>4575438</v>
      </c>
      <c r="F63" s="54" t="n">
        <f aca="false">F48+F61</f>
        <v>5599108</v>
      </c>
      <c r="G63" s="54" t="n">
        <f aca="false">G48+G61</f>
        <v>6253398</v>
      </c>
      <c r="H63" s="54" t="n">
        <f aca="false">H48+H61</f>
        <v>7264771</v>
      </c>
      <c r="I63" s="54" t="n">
        <f aca="false">I48+I61</f>
        <v>7734061</v>
      </c>
      <c r="J63" s="54" t="n">
        <f aca="false">J48+J61</f>
        <v>7701676</v>
      </c>
      <c r="K63" s="54" t="n">
        <f aca="false">K48+K61</f>
        <v>6589653</v>
      </c>
      <c r="L63" s="54" t="n">
        <f aca="false">L48+L61</f>
        <v>6452296</v>
      </c>
      <c r="M63" s="54" t="n">
        <f aca="false">M48+M61</f>
        <v>6134225.7841558</v>
      </c>
      <c r="N63" s="54" t="n">
        <f aca="false">N48+N61</f>
        <v>6056625.93896358</v>
      </c>
      <c r="O63" s="54" t="n">
        <f aca="false">O48+O61</f>
        <v>6143276.93259591</v>
      </c>
      <c r="P63" s="54" t="n">
        <f aca="false">P48+P61</f>
        <v>6294519.85881134</v>
      </c>
      <c r="Q63" s="54" t="n">
        <f aca="false">Q48+Q61</f>
        <v>6438274.51868486</v>
      </c>
    </row>
    <row r="64" customFormat="false" ht="15" hidden="false" customHeight="true" outlineLevel="0" collapsed="false">
      <c r="A64" s="3" t="s">
        <v>328</v>
      </c>
      <c r="B64" s="54" t="n">
        <f aca="false">B37+B63</f>
        <v>7102828</v>
      </c>
      <c r="C64" s="54" t="n">
        <f aca="false">C37+C63</f>
        <v>7892211</v>
      </c>
      <c r="D64" s="54" t="n">
        <f aca="false">D37+D63</f>
        <v>9163684</v>
      </c>
      <c r="E64" s="54" t="n">
        <f aca="false">E37+E63</f>
        <v>10853118</v>
      </c>
      <c r="F64" s="54" t="n">
        <f aca="false">F37+F63</f>
        <v>14003003</v>
      </c>
      <c r="G64" s="54" t="n">
        <f aca="false">G37+G63</f>
        <v>15527100</v>
      </c>
      <c r="H64" s="54" t="n">
        <f aca="false">H37+H63</f>
        <v>17664657</v>
      </c>
      <c r="I64" s="54" t="n">
        <f aca="false">I37+I63</f>
        <v>17737756</v>
      </c>
      <c r="J64" s="54" t="n">
        <f aca="false">J37+J63</f>
        <v>16980271</v>
      </c>
      <c r="K64" s="54" t="n">
        <f aca="false">K37+K63</f>
        <v>15616965</v>
      </c>
      <c r="L64" s="54" t="n">
        <f aca="false">L37+L63</f>
        <v>15213492</v>
      </c>
      <c r="M64" s="54" t="n">
        <f aca="false">M37+M63</f>
        <v>14969897.2158442</v>
      </c>
      <c r="N64" s="54" t="n">
        <f aca="false">N37+N63</f>
        <v>14973922.2158442</v>
      </c>
      <c r="O64" s="54" t="n">
        <f aca="false">O37+O63</f>
        <v>15152447.2158442</v>
      </c>
      <c r="P64" s="54" t="n">
        <f aca="false">P37+P63</f>
        <v>15405472.2158442</v>
      </c>
      <c r="Q64" s="54" t="n">
        <f aca="false">Q37+Q63</f>
        <v>15662997.2158442</v>
      </c>
    </row>
    <row r="65" customFormat="false" ht="15" hidden="false" customHeight="true" outlineLevel="0" collapsed="false">
      <c r="A65" s="8" t="s">
        <v>329</v>
      </c>
      <c r="B65" s="55" t="n">
        <f aca="false">B31-B64</f>
        <v>0</v>
      </c>
      <c r="C65" s="55" t="n">
        <f aca="false">C31-C64</f>
        <v>783</v>
      </c>
      <c r="D65" s="55" t="n">
        <f aca="false">D31-D64</f>
        <v>23486</v>
      </c>
      <c r="E65" s="55" t="n">
        <f aca="false">E31-E64</f>
        <v>-36568</v>
      </c>
      <c r="F65" s="55" t="n">
        <f aca="false">F31-F64</f>
        <v>33744</v>
      </c>
      <c r="G65" s="55" t="n">
        <f aca="false">G31-G64</f>
        <v>45841</v>
      </c>
      <c r="H65" s="55" t="n">
        <f aca="false">H31-H64</f>
        <v>105178</v>
      </c>
      <c r="I65" s="55" t="n">
        <f aca="false">I31-I64</f>
        <v>-148044</v>
      </c>
      <c r="J65" s="55" t="n">
        <f aca="false">J31-J64</f>
        <v>-30006</v>
      </c>
      <c r="K65" s="55" t="n">
        <f aca="false">K31-K64</f>
        <v>3618</v>
      </c>
      <c r="L65" s="55" t="n">
        <f aca="false">L31-L64</f>
        <v>-36776</v>
      </c>
      <c r="M65" s="55" t="n">
        <f aca="false">M31-M64</f>
        <v>537490.739920506</v>
      </c>
      <c r="N65" s="55" t="n">
        <f aca="false">N31-N64</f>
        <v>241592.358184859</v>
      </c>
      <c r="O65" s="55" t="n">
        <f aca="false">O31-O64</f>
        <v>189779.32741531</v>
      </c>
      <c r="P65" s="55" t="n">
        <f aca="false">P31-P64</f>
        <v>451409.433515975</v>
      </c>
      <c r="Q65" s="55" t="n">
        <f aca="false">Q31-Q64</f>
        <v>725857.998195002</v>
      </c>
    </row>
    <row r="67" customFormat="false" ht="15" hidden="false" customHeight="true" outlineLevel="0" collapsed="false">
      <c r="A67" s="6" t="s">
        <v>330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customFormat="false" ht="15" hidden="false" customHeight="true" outlineLevel="0" collapsed="false">
      <c r="A68" s="8" t="s">
        <v>331</v>
      </c>
      <c r="B68" s="32" t="n">
        <f aca="false">B40+B51+B41</f>
        <v>3265984</v>
      </c>
      <c r="C68" s="32" t="n">
        <f aca="false">C40+C51+C41</f>
        <v>3519331</v>
      </c>
      <c r="D68" s="32" t="n">
        <f aca="false">D40+D51+D41</f>
        <v>4028396</v>
      </c>
      <c r="E68" s="32" t="n">
        <f aca="false">E40+E51+E41</f>
        <v>4295698</v>
      </c>
      <c r="F68" s="32" t="n">
        <f aca="false">F40+F51+F41</f>
        <v>4932465</v>
      </c>
      <c r="G68" s="32" t="n">
        <f aca="false">G40+G51+G41</f>
        <v>5506012</v>
      </c>
      <c r="H68" s="32" t="n">
        <f aca="false">H40+H51+H41</f>
        <v>6410931</v>
      </c>
      <c r="I68" s="32" t="n">
        <f aca="false">I40+I51+I41</f>
        <v>6966072</v>
      </c>
      <c r="J68" s="32" t="n">
        <f aca="false">J40+J51+J41</f>
        <v>7059121</v>
      </c>
      <c r="K68" s="32" t="n">
        <f aca="false">K40+K51+K41</f>
        <v>5992014</v>
      </c>
      <c r="L68" s="32" t="n">
        <f aca="false">L40+L51+L41</f>
        <v>5964851</v>
      </c>
      <c r="M68" s="32" t="n">
        <f aca="false">M40+M51+M41</f>
        <v>5730225.7841558</v>
      </c>
      <c r="N68" s="32" t="n">
        <f aca="false">N40+N51+N41</f>
        <v>5687625.93896358</v>
      </c>
      <c r="O68" s="32" t="n">
        <f aca="false">O40+O51+O41</f>
        <v>5799276.93259591</v>
      </c>
      <c r="P68" s="32" t="n">
        <f aca="false">P40+P51+P41</f>
        <v>5955519.85881134</v>
      </c>
      <c r="Q68" s="32" t="n">
        <f aca="false">Q40+Q51+Q41</f>
        <v>6104274.51868486</v>
      </c>
    </row>
    <row r="69" customFormat="false" ht="15" hidden="false" customHeight="true" outlineLevel="0" collapsed="false">
      <c r="A69" s="8" t="s">
        <v>332</v>
      </c>
      <c r="B69" s="32" t="n">
        <f aca="false">B68-B22</f>
        <v>3265984</v>
      </c>
      <c r="C69" s="32" t="n">
        <f aca="false">C68-C22</f>
        <v>3519331</v>
      </c>
      <c r="D69" s="32" t="n">
        <f aca="false">D68-D22</f>
        <v>4004610</v>
      </c>
      <c r="E69" s="32" t="n">
        <f aca="false">E68-E22</f>
        <v>4295698</v>
      </c>
      <c r="F69" s="32" t="n">
        <f aca="false">F68-F22</f>
        <v>4455137</v>
      </c>
      <c r="G69" s="32" t="n">
        <f aca="false">G68-G22</f>
        <v>5384290</v>
      </c>
      <c r="H69" s="32" t="n">
        <f aca="false">H68-H22</f>
        <v>6337520</v>
      </c>
      <c r="I69" s="32" t="n">
        <f aca="false">I68-I22</f>
        <v>6966072</v>
      </c>
      <c r="J69" s="32" t="n">
        <f aca="false">J68-J22</f>
        <v>7029593</v>
      </c>
      <c r="K69" s="32" t="n">
        <f aca="false">K68-K22</f>
        <v>5855771</v>
      </c>
      <c r="L69" s="32" t="n">
        <f aca="false">L68-L22</f>
        <v>5931675</v>
      </c>
      <c r="M69" s="32" t="n">
        <f aca="false">M68-M22</f>
        <v>5700225.7841558</v>
      </c>
      <c r="N69" s="32" t="n">
        <f aca="false">N68-N22</f>
        <v>5657625.93896358</v>
      </c>
      <c r="O69" s="32" t="n">
        <f aca="false">O68-O22</f>
        <v>5769276.93259591</v>
      </c>
      <c r="P69" s="32" t="n">
        <f aca="false">P68-P22</f>
        <v>5925519.85881134</v>
      </c>
      <c r="Q69" s="32" t="n">
        <f aca="false">Q68-Q22</f>
        <v>6074274.51868486</v>
      </c>
    </row>
    <row r="70" customFormat="false" ht="15" hidden="false" customHeight="true" outlineLevel="0" collapsed="false">
      <c r="A70" s="8" t="s">
        <v>333</v>
      </c>
      <c r="B70" s="9" t="n">
        <f aca="false">B68/B31</f>
        <v>0.45981459779119</v>
      </c>
      <c r="C70" s="9" t="n">
        <f aca="false">C68/C31</f>
        <v>0.445880359214767</v>
      </c>
      <c r="D70" s="9" t="n">
        <f aca="false">D68/D31</f>
        <v>0.438480620256292</v>
      </c>
      <c r="E70" s="9" t="n">
        <f aca="false">E68/E31</f>
        <v>0.397141232648118</v>
      </c>
      <c r="F70" s="9" t="n">
        <f aca="false">F68/F31</f>
        <v>0.35139658782765</v>
      </c>
      <c r="G70" s="9" t="n">
        <f aca="false">G68/G31</f>
        <v>0.353562759917989</v>
      </c>
      <c r="H70" s="9" t="n">
        <f aca="false">H68/H31</f>
        <v>0.360776056727595</v>
      </c>
      <c r="I70" s="9" t="n">
        <f aca="false">I68/I31</f>
        <v>0.396031043600941</v>
      </c>
      <c r="J70" s="9" t="n">
        <f aca="false">J68/J31</f>
        <v>0.41646080459509</v>
      </c>
      <c r="K70" s="9" t="n">
        <f aca="false">K68/K31</f>
        <v>0.383597334363257</v>
      </c>
      <c r="L70" s="9" t="n">
        <f aca="false">L68/L31</f>
        <v>0.393026462378291</v>
      </c>
      <c r="M70" s="9" t="n">
        <f aca="false">M68/M31</f>
        <v>0.369515859182826</v>
      </c>
      <c r="N70" s="9" t="n">
        <f aca="false">N68/N31</f>
        <v>0.373804376532334</v>
      </c>
      <c r="O70" s="9" t="n">
        <f aca="false">O68/O31</f>
        <v>0.377994479239637</v>
      </c>
      <c r="P70" s="9" t="n">
        <f aca="false">P68/P31</f>
        <v>0.375579511186655</v>
      </c>
      <c r="Q70" s="9" t="n">
        <f aca="false">Q68/Q31</f>
        <v>0.372464973237164</v>
      </c>
    </row>
    <row r="71" customFormat="false" ht="15" hidden="false" customHeight="true" outlineLevel="0" collapsed="false">
      <c r="A71" s="8" t="s">
        <v>334</v>
      </c>
      <c r="B71" s="37" t="n">
        <f aca="false">B37/129585</f>
        <v>28.2436470270479</v>
      </c>
      <c r="C71" s="37" t="n">
        <f aca="false">C37/136739</f>
        <v>30.40938576412</v>
      </c>
      <c r="D71" s="37" t="n">
        <f aca="false">D37/137303</f>
        <v>35.6463150841569</v>
      </c>
      <c r="E71" s="37" t="n">
        <f aca="false">E37/145654</f>
        <v>43.0999491946668</v>
      </c>
      <c r="F71" s="37" t="n">
        <f aca="false">F37/170562</f>
        <v>49.2717897304206</v>
      </c>
      <c r="G71" s="37" t="n">
        <f aca="false">G37/173252</f>
        <v>53.527243552744</v>
      </c>
      <c r="H71" s="37" t="n">
        <f aca="false">H37/175073</f>
        <v>59.4031404042885</v>
      </c>
      <c r="I71" s="37" t="n">
        <f aca="false">I37/174890</f>
        <v>57.1999256675625</v>
      </c>
      <c r="J71" s="37" t="n">
        <f aca="false">J37/170000</f>
        <v>54.5799705882353</v>
      </c>
      <c r="K71" s="37" t="n">
        <f aca="false">K37/162891</f>
        <v>55.4193417684218</v>
      </c>
      <c r="L71" s="37" t="n">
        <f aca="false">L37/157694</f>
        <v>55.5582076680153</v>
      </c>
      <c r="M71" s="56" t="n">
        <f aca="false">M37/Assumptions!B79</f>
        <v>56.6639915539069</v>
      </c>
      <c r="N71" s="56" t="n">
        <f aca="false">N37/Assumptions!C79</f>
        <v>57.1874593598705</v>
      </c>
      <c r="O71" s="56" t="n">
        <f aca="false">O37/Assumptions!D79</f>
        <v>57.7766560000003</v>
      </c>
      <c r="P71" s="56" t="n">
        <f aca="false">P37/Assumptions!E79</f>
        <v>58.4293940079556</v>
      </c>
      <c r="Q71" s="56" t="n">
        <f aca="false">Q37/Assumptions!F79</f>
        <v>59.159013895007</v>
      </c>
    </row>
    <row r="72" customFormat="false" ht="15" hidden="false" customHeight="true" outlineLevel="0" collapsed="false">
      <c r="A72" s="8" t="s">
        <v>335</v>
      </c>
      <c r="B72" s="29" t="n">
        <v>129585</v>
      </c>
      <c r="C72" s="29" t="n">
        <v>136739</v>
      </c>
      <c r="D72" s="29" t="n">
        <v>137303</v>
      </c>
      <c r="E72" s="29" t="n">
        <v>145654</v>
      </c>
      <c r="F72" s="29" t="n">
        <v>170562</v>
      </c>
      <c r="G72" s="29" t="n">
        <v>173252</v>
      </c>
      <c r="H72" s="29" t="n">
        <v>175073</v>
      </c>
      <c r="I72" s="29" t="n">
        <v>174890</v>
      </c>
      <c r="J72" s="29" t="n">
        <v>170000</v>
      </c>
      <c r="K72" s="29" t="n">
        <v>162891</v>
      </c>
      <c r="L72" s="29" t="n">
        <v>157694</v>
      </c>
      <c r="M72" s="30" t="n">
        <f aca="false">Assumptions!B79</f>
        <v>155930.974669913</v>
      </c>
      <c r="N72" s="30" t="n">
        <f aca="false">Assumptions!C79</f>
        <v>155930.974669913</v>
      </c>
      <c r="O72" s="30" t="n">
        <f aca="false">Assumptions!D79</f>
        <v>155930.974669913</v>
      </c>
      <c r="P72" s="30" t="n">
        <f aca="false">Assumptions!E79</f>
        <v>155930.974669913</v>
      </c>
      <c r="Q72" s="30" t="n">
        <f aca="false">Assumptions!F79</f>
        <v>155930.974669913</v>
      </c>
    </row>
    <row r="73" customFormat="false" ht="15" hidden="false" customHeight="true" outlineLevel="0" collapsed="false">
      <c r="A73" s="8" t="s">
        <v>336</v>
      </c>
      <c r="B73" s="57" t="n">
        <f aca="false">B69/(IS!B11+IS!B15)</f>
        <v>10.8178478803075</v>
      </c>
      <c r="C73" s="57" t="n">
        <f aca="false">C69/(IS!C11+IS!C15)</f>
        <v>10.5111762211112</v>
      </c>
      <c r="D73" s="57" t="n">
        <f aca="false">D69/(IS!D11+IS!D15)</f>
        <v>11.1026673949025</v>
      </c>
      <c r="E73" s="57" t="n">
        <f aca="false">E69/(IS!E11+IS!E15)</f>
        <v>10.7515824408509</v>
      </c>
      <c r="F73" s="57" t="n">
        <f aca="false">F69/(IS!F11+IS!F15)</f>
        <v>9.64511610587436</v>
      </c>
      <c r="G73" s="57" t="n">
        <f aca="false">G69/(IS!G11+IS!G15)</f>
        <v>10.0659184936334</v>
      </c>
      <c r="H73" s="57" t="n">
        <f aca="false">H69/(IS!H11+IS!H15)</f>
        <v>11.3448150554843</v>
      </c>
      <c r="I73" s="57" t="n">
        <f aca="false">I69/(IS!I11+IS!I15)</f>
        <v>11.758194867363</v>
      </c>
      <c r="J73" s="57" t="n">
        <f aca="false">J69/(IS!J11+IS!J15)</f>
        <v>11.1507741750249</v>
      </c>
      <c r="K73" s="57" t="n">
        <f aca="false">K69/(IS!K11+IS!K15)</f>
        <v>8.71355594244305</v>
      </c>
      <c r="L73" s="57" t="n">
        <f aca="false">L69/(IS!L11+IS!L15)</f>
        <v>9.90722739434997</v>
      </c>
      <c r="M73" s="57" t="n">
        <f aca="false">M69/(IS!M11+IS!M15)</f>
        <v>9.67904695671651</v>
      </c>
      <c r="N73" s="57" t="n">
        <f aca="false">N69/(IS!N11+IS!N15)</f>
        <v>9.77958888150561</v>
      </c>
      <c r="O73" s="57" t="n">
        <f aca="false">O69/(IS!O11+IS!O15)</f>
        <v>9.85123698381375</v>
      </c>
      <c r="P73" s="57" t="n">
        <f aca="false">P69/(IS!P11+IS!P15)</f>
        <v>9.77568649389808</v>
      </c>
      <c r="Q73" s="57" t="n">
        <f aca="false">Q69/(IS!Q11+IS!Q15)</f>
        <v>9.66563420309308</v>
      </c>
    </row>
    <row r="74" customFormat="false" ht="15" hidden="false" customHeight="true" outlineLevel="0" collapsed="false">
      <c r="A74" s="8" t="s">
        <v>337</v>
      </c>
      <c r="B74" s="9" t="n">
        <f aca="false">(B9+B10+B13)/B31</f>
        <v>0.018135030159818</v>
      </c>
      <c r="C74" s="9" t="n">
        <f aca="false">(C9+C10+C13)/C31</f>
        <v>0.0169000508552268</v>
      </c>
      <c r="D74" s="9" t="n">
        <f aca="false">(D9+D10+D13)/D31</f>
        <v>0.0166816331906343</v>
      </c>
      <c r="E74" s="9" t="n">
        <f aca="false">(E9+E10+E13)/E31</f>
        <v>0.0199790136411333</v>
      </c>
      <c r="F74" s="9" t="n">
        <f aca="false">(F9+F10+F13)/F31</f>
        <v>0.0200785124929587</v>
      </c>
      <c r="G74" s="9" t="n">
        <f aca="false">(G9+G10+G13)/G31</f>
        <v>0.0199625748277092</v>
      </c>
      <c r="H74" s="9" t="n">
        <f aca="false">(H9+H10+H13)/H31</f>
        <v>0.0176098427475551</v>
      </c>
      <c r="I74" s="9" t="n">
        <f aca="false">(I9+I10+I13)/I31</f>
        <v>0.0111635710692705</v>
      </c>
      <c r="J74" s="9" t="n">
        <f aca="false">(J9+J10+J13)/J31</f>
        <v>0.00958521887415919</v>
      </c>
      <c r="K74" s="9" t="n">
        <f aca="false">(K9+K10+K13)/K31</f>
        <v>0.000151338781657509</v>
      </c>
      <c r="L74" s="9" t="n">
        <f aca="false">(L9+L10+L13)/L31</f>
        <v>0.0005668551747295</v>
      </c>
      <c r="M74" s="9" t="n">
        <f aca="false">(M9+M10+M13)/M31</f>
        <v>0</v>
      </c>
      <c r="N74" s="9" t="n">
        <f aca="false">(N9+N10+N13)/N31</f>
        <v>0</v>
      </c>
      <c r="O74" s="9" t="n">
        <f aca="false">(O9+O10+O13)/O31</f>
        <v>0</v>
      </c>
      <c r="P74" s="9" t="n">
        <f aca="false">(P9+P10+P13)/P31</f>
        <v>0</v>
      </c>
      <c r="Q74" s="9" t="n">
        <f aca="false">(Q9+Q10+Q13)/Q31</f>
        <v>0</v>
      </c>
    </row>
    <row r="75" customFormat="false" ht="15" hidden="false" customHeight="true" outlineLevel="0" collapsed="false">
      <c r="A75" s="8" t="s">
        <v>338</v>
      </c>
      <c r="B75" s="9" t="n">
        <f aca="false">B11/B31</f>
        <v>0</v>
      </c>
      <c r="C75" s="9" t="n">
        <f aca="false">C11/C31</f>
        <v>0</v>
      </c>
      <c r="D75" s="9" t="n">
        <f aca="false">D11/D31</f>
        <v>0</v>
      </c>
      <c r="E75" s="9" t="n">
        <f aca="false">E11/E31</f>
        <v>0</v>
      </c>
      <c r="F75" s="9" t="n">
        <f aca="false">F11/F31</f>
        <v>0</v>
      </c>
      <c r="G75" s="9" t="n">
        <f aca="false">G11/G31</f>
        <v>0</v>
      </c>
      <c r="H75" s="9" t="n">
        <f aca="false">H11/H31</f>
        <v>0.00647107865661105</v>
      </c>
      <c r="I75" s="9" t="n">
        <f aca="false">I11/I31</f>
        <v>0.00266064617772025</v>
      </c>
      <c r="J75" s="9" t="n">
        <f aca="false">J11/J31</f>
        <v>0</v>
      </c>
      <c r="K75" s="9" t="n">
        <f aca="false">K11/K31</f>
        <v>0.00833265954286085</v>
      </c>
      <c r="L75" s="9" t="n">
        <f aca="false">L11/L31</f>
        <v>0.00918472744696547</v>
      </c>
      <c r="M75" s="9" t="n">
        <f aca="false">M11/M31</f>
        <v>0.00838310103357374</v>
      </c>
      <c r="N75" s="9" t="n">
        <f aca="false">N11/N31</f>
        <v>0.00788668693498047</v>
      </c>
      <c r="O75" s="9" t="n">
        <f aca="false">O11/O31</f>
        <v>0.00716975464348932</v>
      </c>
      <c r="P75" s="9" t="n">
        <f aca="false">P11/P31</f>
        <v>0.00630641018904464</v>
      </c>
      <c r="Q75" s="9" t="n">
        <f aca="false">Q11/Q31</f>
        <v>0.00549153670739023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A1:L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5"/>
    <col collapsed="false" customWidth="true" hidden="false" outlineLevel="0" max="12" min="2" style="1" width="14"/>
  </cols>
  <sheetData>
    <row r="1" customFormat="false" ht="1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339</v>
      </c>
    </row>
    <row r="3" customFormat="false" ht="15" hidden="false" customHeight="true" outlineLevel="0" collapsed="false">
      <c r="A3" s="4" t="s">
        <v>340</v>
      </c>
    </row>
    <row r="5" customFormat="false" ht="15" hidden="false" customHeight="true" outlineLevel="0" collapsed="false">
      <c r="B5" s="5" t="s">
        <v>233</v>
      </c>
      <c r="C5" s="5" t="s">
        <v>234</v>
      </c>
      <c r="D5" s="5" t="s">
        <v>235</v>
      </c>
      <c r="E5" s="5" t="s">
        <v>236</v>
      </c>
      <c r="F5" s="5" t="s">
        <v>237</v>
      </c>
      <c r="G5" s="5" t="s">
        <v>238</v>
      </c>
      <c r="H5" s="5" t="s">
        <v>239</v>
      </c>
      <c r="I5" s="5" t="s">
        <v>240</v>
      </c>
      <c r="J5" s="5" t="s">
        <v>241</v>
      </c>
      <c r="K5" s="5" t="s">
        <v>242</v>
      </c>
      <c r="L5" s="5" t="s">
        <v>243</v>
      </c>
    </row>
    <row r="7" customFormat="false" ht="15" hidden="false" customHeight="true" outlineLevel="0" collapsed="false">
      <c r="A7" s="58" t="s">
        <v>341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customFormat="false" ht="15" hidden="false" customHeight="true" outlineLevel="0" collapsed="false">
      <c r="A8" s="3" t="s">
        <v>140</v>
      </c>
      <c r="B8" s="36" t="n">
        <v>292824</v>
      </c>
      <c r="C8" s="36" t="n">
        <v>361358</v>
      </c>
      <c r="D8" s="36" t="n">
        <v>358941</v>
      </c>
      <c r="E8" s="36" t="n">
        <v>431177</v>
      </c>
      <c r="F8" s="36" t="n">
        <v>454629</v>
      </c>
      <c r="G8" s="36" t="n">
        <v>481356</v>
      </c>
      <c r="H8" s="36" t="n">
        <v>551433</v>
      </c>
      <c r="I8" s="36" t="n">
        <v>598027</v>
      </c>
      <c r="J8" s="36" t="n">
        <v>615919</v>
      </c>
      <c r="K8" s="36" t="n">
        <v>648845</v>
      </c>
      <c r="L8" s="36" t="n">
        <v>568824</v>
      </c>
    </row>
    <row r="9" customFormat="false" ht="15" hidden="false" customHeight="true" outlineLevel="0" collapsed="false">
      <c r="A9" s="4" t="s">
        <v>342</v>
      </c>
    </row>
    <row r="11" customFormat="false" ht="15" hidden="false" customHeight="true" outlineLevel="0" collapsed="false">
      <c r="A11" s="58" t="s">
        <v>343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customFormat="false" ht="15" hidden="false" customHeight="true" outlineLevel="0" collapsed="false">
      <c r="A12" s="8" t="s">
        <v>344</v>
      </c>
      <c r="B12" s="35" t="n">
        <v>-933386</v>
      </c>
      <c r="C12" s="35" t="n">
        <v>-387689</v>
      </c>
      <c r="D12" s="35" t="n">
        <v>-471330</v>
      </c>
      <c r="E12" s="35" t="n">
        <v>-482152</v>
      </c>
      <c r="F12" s="35" t="n">
        <v>-1327400</v>
      </c>
      <c r="G12" s="35" t="n">
        <v>-685398</v>
      </c>
      <c r="H12" s="35" t="n">
        <v>-839975</v>
      </c>
      <c r="I12" s="35" t="n">
        <v>-539561</v>
      </c>
      <c r="J12" s="35" t="n">
        <v>-242365</v>
      </c>
      <c r="K12" s="35" t="n">
        <v>-332638</v>
      </c>
      <c r="L12" s="35" t="n">
        <v>-95424</v>
      </c>
    </row>
    <row r="13" customFormat="false" ht="15" hidden="false" customHeight="true" outlineLevel="0" collapsed="false">
      <c r="A13" s="8" t="s">
        <v>345</v>
      </c>
      <c r="B13" s="35" t="n">
        <v>-174027</v>
      </c>
      <c r="C13" s="35" t="n">
        <v>-197493</v>
      </c>
      <c r="D13" s="35" t="n">
        <v>-163728</v>
      </c>
      <c r="E13" s="35" t="n">
        <v>-203784</v>
      </c>
      <c r="F13" s="35" t="n">
        <v>-242357</v>
      </c>
      <c r="G13" s="35" t="n">
        <v>-244857</v>
      </c>
      <c r="H13" s="35" t="n">
        <v>-299419</v>
      </c>
      <c r="I13" s="35" t="n">
        <v>-336467</v>
      </c>
      <c r="J13" s="35" t="n">
        <v>-307831</v>
      </c>
      <c r="K13" s="35" t="n">
        <v>-249808</v>
      </c>
      <c r="L13" s="35" t="n">
        <v>-241587</v>
      </c>
    </row>
    <row r="14" customFormat="false" ht="15" hidden="false" customHeight="true" outlineLevel="0" collapsed="false">
      <c r="A14" s="8" t="s">
        <v>346</v>
      </c>
      <c r="B14" s="35" t="n">
        <v>-32305</v>
      </c>
      <c r="C14" s="35" t="n">
        <v>0</v>
      </c>
      <c r="D14" s="35" t="n">
        <v>0</v>
      </c>
      <c r="E14" s="35" t="n">
        <v>-25443</v>
      </c>
      <c r="F14" s="35" t="n">
        <v>-40668</v>
      </c>
      <c r="G14" s="35" t="n">
        <v>-8020</v>
      </c>
      <c r="H14" s="35" t="n">
        <v>0</v>
      </c>
      <c r="I14" s="35" t="n">
        <v>-18867</v>
      </c>
      <c r="J14" s="35" t="n">
        <v>-12619</v>
      </c>
      <c r="K14" s="35" t="n">
        <v>-13293</v>
      </c>
      <c r="L14" s="35" t="n">
        <v>-14091</v>
      </c>
    </row>
    <row r="15" customFormat="false" ht="15" hidden="false" customHeight="true" outlineLevel="0" collapsed="false">
      <c r="A15" s="8" t="s">
        <v>347</v>
      </c>
      <c r="B15" s="35" t="n">
        <v>24004</v>
      </c>
      <c r="C15" s="35" t="n">
        <v>31321</v>
      </c>
      <c r="D15" s="35" t="n">
        <v>16734</v>
      </c>
      <c r="E15" s="35" t="n">
        <v>81872</v>
      </c>
      <c r="F15" s="35" t="n">
        <v>0</v>
      </c>
      <c r="G15" s="35" t="n">
        <v>33312</v>
      </c>
      <c r="H15" s="35" t="n">
        <v>29194</v>
      </c>
      <c r="I15" s="35" t="n">
        <v>306949</v>
      </c>
      <c r="J15" s="35" t="n">
        <v>373676</v>
      </c>
      <c r="K15" s="35" t="n">
        <v>2135419</v>
      </c>
      <c r="L15" s="35" t="n">
        <v>1108340</v>
      </c>
    </row>
    <row r="16" customFormat="false" ht="15" hidden="false" customHeight="true" outlineLevel="0" collapsed="false">
      <c r="A16" s="8" t="s">
        <v>348</v>
      </c>
      <c r="B16" s="35" t="n">
        <v>0</v>
      </c>
      <c r="C16" s="35" t="n">
        <v>0</v>
      </c>
      <c r="D16" s="35" t="n">
        <v>0</v>
      </c>
      <c r="E16" s="35" t="n">
        <v>0</v>
      </c>
      <c r="F16" s="35" t="n">
        <v>0</v>
      </c>
      <c r="G16" s="35" t="n">
        <v>0</v>
      </c>
      <c r="H16" s="35" t="n">
        <v>0</v>
      </c>
      <c r="I16" s="35" t="n">
        <v>5246</v>
      </c>
      <c r="J16" s="35" t="n">
        <v>41791</v>
      </c>
      <c r="K16" s="35" t="n">
        <v>151478</v>
      </c>
      <c r="L16" s="35" t="n">
        <v>15030</v>
      </c>
    </row>
    <row r="17" customFormat="false" ht="15" hidden="false" customHeight="true" outlineLevel="0" collapsed="false">
      <c r="A17" s="8" t="s">
        <v>349</v>
      </c>
      <c r="B17" s="35" t="n">
        <v>1611</v>
      </c>
      <c r="C17" s="35" t="n">
        <v>4519</v>
      </c>
      <c r="D17" s="35" t="n">
        <v>8478</v>
      </c>
      <c r="E17" s="35" t="n">
        <v>7442</v>
      </c>
      <c r="F17" s="35" t="n">
        <v>0</v>
      </c>
      <c r="G17" s="35" t="n">
        <v>0</v>
      </c>
      <c r="H17" s="35" t="n">
        <v>0</v>
      </c>
      <c r="I17" s="35" t="n">
        <v>0</v>
      </c>
      <c r="J17" s="35" t="n">
        <v>9981</v>
      </c>
      <c r="K17" s="35" t="n">
        <v>5931</v>
      </c>
      <c r="L17" s="35" t="n">
        <v>7842</v>
      </c>
    </row>
    <row r="18" customFormat="false" ht="15" hidden="false" customHeight="true" outlineLevel="0" collapsed="false">
      <c r="A18" s="8" t="s">
        <v>350</v>
      </c>
      <c r="B18" s="35" t="n">
        <v>-593</v>
      </c>
      <c r="C18" s="35" t="n">
        <v>-846</v>
      </c>
      <c r="D18" s="35" t="n">
        <v>0</v>
      </c>
      <c r="E18" s="35" t="n">
        <v>0</v>
      </c>
      <c r="F18" s="35" t="n">
        <v>0</v>
      </c>
      <c r="G18" s="35" t="n">
        <v>0</v>
      </c>
      <c r="H18" s="35" t="n">
        <v>0</v>
      </c>
      <c r="I18" s="35" t="n">
        <v>0</v>
      </c>
      <c r="J18" s="35" t="n">
        <v>0</v>
      </c>
      <c r="K18" s="35" t="n">
        <v>0</v>
      </c>
      <c r="L18" s="35" t="n">
        <v>0</v>
      </c>
    </row>
    <row r="20" customFormat="false" ht="15" hidden="false" customHeight="true" outlineLevel="0" collapsed="false">
      <c r="A20" s="58" t="s">
        <v>351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customFormat="false" ht="15" hidden="false" customHeight="true" outlineLevel="0" collapsed="false">
      <c r="A21" s="8" t="s">
        <v>352</v>
      </c>
      <c r="B21" s="35" t="n">
        <v>808976</v>
      </c>
      <c r="C21" s="35" t="n">
        <v>635768</v>
      </c>
      <c r="D21" s="35" t="n">
        <v>464516</v>
      </c>
      <c r="E21" s="35" t="n">
        <v>391234</v>
      </c>
      <c r="F21" s="35" t="n">
        <v>828507</v>
      </c>
      <c r="G21" s="35" t="n">
        <v>1529964</v>
      </c>
      <c r="H21" s="35" t="n">
        <v>1340965</v>
      </c>
      <c r="I21" s="35" t="n">
        <v>700584</v>
      </c>
      <c r="J21" s="35" t="n">
        <v>709048</v>
      </c>
      <c r="K21" s="35" t="n">
        <v>415587</v>
      </c>
      <c r="L21" s="35" t="n">
        <v>594972</v>
      </c>
    </row>
    <row r="22" customFormat="false" ht="15" hidden="false" customHeight="true" outlineLevel="0" collapsed="false">
      <c r="A22" s="8" t="s">
        <v>353</v>
      </c>
      <c r="B22" s="35" t="n">
        <v>-84890</v>
      </c>
      <c r="C22" s="35" t="n">
        <v>-102522</v>
      </c>
      <c r="D22" s="35" t="n">
        <v>-119458</v>
      </c>
      <c r="E22" s="35" t="n">
        <v>-116877</v>
      </c>
      <c r="F22" s="35" t="n">
        <v>-125902</v>
      </c>
      <c r="G22" s="35" t="n">
        <v>-136087</v>
      </c>
      <c r="H22" s="35" t="n">
        <v>-149996</v>
      </c>
      <c r="I22" s="35" t="n">
        <v>-162048</v>
      </c>
      <c r="J22" s="35" t="n">
        <v>-153793</v>
      </c>
      <c r="K22" s="35" t="n">
        <v>-153237</v>
      </c>
      <c r="L22" s="35" t="n">
        <v>-145099</v>
      </c>
    </row>
    <row r="23" customFormat="false" ht="15" hidden="false" customHeight="true" outlineLevel="0" collapsed="false">
      <c r="A23" s="8" t="s">
        <v>354</v>
      </c>
      <c r="B23" s="35" t="n">
        <v>-143328</v>
      </c>
      <c r="C23" s="35" t="n">
        <v>-130810</v>
      </c>
      <c r="D23" s="35" t="n">
        <v>-266575</v>
      </c>
      <c r="E23" s="35" t="n">
        <v>-103734</v>
      </c>
      <c r="F23" s="35" t="n">
        <v>-232336</v>
      </c>
      <c r="G23" s="35" t="n">
        <v>-353966</v>
      </c>
      <c r="H23" s="35" t="n">
        <v>-521375</v>
      </c>
      <c r="I23" s="35" t="n">
        <v>-479349</v>
      </c>
      <c r="J23" s="35" t="n">
        <v>-425476</v>
      </c>
      <c r="K23" s="35" t="n">
        <v>-516965</v>
      </c>
      <c r="L23" s="35" t="n">
        <v>-546267</v>
      </c>
    </row>
    <row r="24" customFormat="false" ht="15" hidden="false" customHeight="true" outlineLevel="0" collapsed="false">
      <c r="A24" s="8" t="s">
        <v>355</v>
      </c>
      <c r="B24" s="35" t="n">
        <v>-3348</v>
      </c>
      <c r="C24" s="35" t="n">
        <v>-3730</v>
      </c>
      <c r="D24" s="35" t="n">
        <v>-4116</v>
      </c>
      <c r="E24" s="35" t="n">
        <v>-3741</v>
      </c>
      <c r="F24" s="35" t="n">
        <v>-3956</v>
      </c>
      <c r="G24" s="35" t="n">
        <v>-4143</v>
      </c>
      <c r="H24" s="35" t="n">
        <v>-4581</v>
      </c>
      <c r="I24" s="35" t="n">
        <v>-7596</v>
      </c>
      <c r="J24" s="35" t="n">
        <v>-7043</v>
      </c>
      <c r="K24" s="35" t="n">
        <v>-6651</v>
      </c>
      <c r="L24" s="35" t="n">
        <v>0</v>
      </c>
    </row>
    <row r="25" customFormat="false" ht="15" hidden="false" customHeight="true" outlineLevel="0" collapsed="false">
      <c r="A25" s="8" t="s">
        <v>356</v>
      </c>
      <c r="B25" s="35" t="n">
        <v>-14130</v>
      </c>
      <c r="C25" s="35" t="n">
        <v>-11492</v>
      </c>
      <c r="D25" s="35" t="n">
        <v>-4902</v>
      </c>
      <c r="E25" s="35" t="n">
        <v>-3469</v>
      </c>
      <c r="F25" s="35" t="n">
        <v>-9852</v>
      </c>
      <c r="G25" s="35" t="n">
        <v>-34994</v>
      </c>
      <c r="H25" s="35" t="n">
        <v>-23447</v>
      </c>
      <c r="I25" s="35" t="n">
        <v>-20463</v>
      </c>
      <c r="J25" s="35" t="n">
        <v>-11572</v>
      </c>
      <c r="K25" s="35" t="n">
        <v>-12227</v>
      </c>
      <c r="L25" s="35" t="n">
        <v>-4106</v>
      </c>
    </row>
    <row r="26" customFormat="false" ht="15" hidden="false" customHeight="true" outlineLevel="0" collapsed="false">
      <c r="A26" s="8" t="s">
        <v>357</v>
      </c>
      <c r="B26" s="35" t="n">
        <v>-100467</v>
      </c>
      <c r="C26" s="35" t="n">
        <v>-109097</v>
      </c>
      <c r="D26" s="35" t="n">
        <v>-111138</v>
      </c>
      <c r="E26" s="35" t="n">
        <v>-114271</v>
      </c>
      <c r="F26" s="35" t="n">
        <v>-119609</v>
      </c>
      <c r="G26" s="35" t="n">
        <v>-130398</v>
      </c>
      <c r="H26" s="35" t="n">
        <v>-133665</v>
      </c>
      <c r="I26" s="35" t="n">
        <v>-156266</v>
      </c>
      <c r="J26" s="35" t="n">
        <v>-184586</v>
      </c>
      <c r="K26" s="35" t="n">
        <v>-197773</v>
      </c>
      <c r="L26" s="35" t="n">
        <v>-171831</v>
      </c>
    </row>
    <row r="27" customFormat="false" ht="15" hidden="false" customHeight="true" outlineLevel="0" collapsed="false">
      <c r="A27" s="8" t="s">
        <v>358</v>
      </c>
      <c r="B27" s="35" t="n">
        <v>54644</v>
      </c>
      <c r="C27" s="35" t="n">
        <v>-141803</v>
      </c>
      <c r="D27" s="35" t="n">
        <v>427925</v>
      </c>
      <c r="E27" s="35" t="n">
        <v>85981</v>
      </c>
      <c r="F27" s="35" t="n">
        <v>87000</v>
      </c>
      <c r="G27" s="35" t="n">
        <v>-498783</v>
      </c>
      <c r="H27" s="35" t="n">
        <v>189305</v>
      </c>
      <c r="I27" s="35" t="n">
        <v>63832</v>
      </c>
      <c r="J27" s="35" t="n">
        <v>-2076</v>
      </c>
      <c r="K27" s="35" t="n">
        <v>-397588</v>
      </c>
      <c r="L27" s="35" t="n">
        <v>327105</v>
      </c>
    </row>
    <row r="28" customFormat="false" ht="15" hidden="false" customHeight="true" outlineLevel="0" collapsed="false">
      <c r="A28" s="8" t="s">
        <v>359</v>
      </c>
      <c r="B28" s="35" t="n">
        <v>401154</v>
      </c>
      <c r="C28" s="35" t="n">
        <v>161914</v>
      </c>
      <c r="D28" s="35" t="n">
        <v>150267</v>
      </c>
      <c r="E28" s="35" t="n">
        <v>85689</v>
      </c>
      <c r="F28" s="35" t="n">
        <v>308870</v>
      </c>
      <c r="G28" s="35" t="n">
        <v>148651</v>
      </c>
      <c r="H28" s="35" t="n">
        <v>87395</v>
      </c>
      <c r="I28" s="35" t="n">
        <v>3804</v>
      </c>
      <c r="J28" s="35" t="n">
        <v>2744</v>
      </c>
      <c r="K28" s="35" t="n">
        <v>2904</v>
      </c>
      <c r="L28" s="35" t="n">
        <v>1684</v>
      </c>
    </row>
    <row r="29" customFormat="false" ht="15" hidden="false" customHeight="true" outlineLevel="0" collapsed="false">
      <c r="A29" s="8" t="s">
        <v>360</v>
      </c>
      <c r="B29" s="35" t="n">
        <v>0</v>
      </c>
      <c r="C29" s="35" t="n">
        <v>0</v>
      </c>
      <c r="D29" s="35" t="n">
        <v>0</v>
      </c>
      <c r="E29" s="35" t="n">
        <v>0</v>
      </c>
      <c r="F29" s="35" t="n">
        <v>250746</v>
      </c>
      <c r="G29" s="35" t="n">
        <v>0</v>
      </c>
      <c r="H29" s="35" t="n">
        <v>0</v>
      </c>
      <c r="I29" s="35" t="n">
        <v>0</v>
      </c>
      <c r="J29" s="35" t="n">
        <v>0</v>
      </c>
      <c r="K29" s="35" t="n">
        <v>0</v>
      </c>
      <c r="L29" s="35" t="n">
        <v>0</v>
      </c>
    </row>
    <row r="30" customFormat="false" ht="15" hidden="false" customHeight="true" outlineLevel="0" collapsed="false">
      <c r="A30" s="8" t="s">
        <v>361</v>
      </c>
      <c r="B30" s="35" t="n">
        <v>-96739</v>
      </c>
      <c r="C30" s="35" t="n">
        <v>-109398</v>
      </c>
      <c r="D30" s="35" t="n">
        <v>-120749</v>
      </c>
      <c r="E30" s="35" t="n">
        <v>-134929</v>
      </c>
      <c r="F30" s="35" t="n">
        <v>-146521</v>
      </c>
      <c r="G30" s="35" t="n">
        <v>-180071</v>
      </c>
      <c r="H30" s="35" t="n">
        <v>-177774</v>
      </c>
      <c r="I30" s="35" t="n">
        <v>-219761</v>
      </c>
      <c r="J30" s="35" t="n">
        <v>-210479</v>
      </c>
      <c r="K30" s="35" t="n">
        <v>-243720</v>
      </c>
      <c r="L30" s="35" t="n">
        <v>-248146</v>
      </c>
    </row>
    <row r="31" customFormat="false" ht="15" hidden="false" customHeight="true" outlineLevel="0" collapsed="false">
      <c r="A31" s="8" t="s">
        <v>362</v>
      </c>
      <c r="B31" s="35" t="n">
        <v>0</v>
      </c>
      <c r="C31" s="35" t="n">
        <v>0</v>
      </c>
      <c r="D31" s="35" t="n">
        <v>0</v>
      </c>
      <c r="E31" s="35" t="n">
        <v>0</v>
      </c>
      <c r="F31" s="35" t="n">
        <v>0</v>
      </c>
      <c r="G31" s="35" t="n">
        <v>-12542</v>
      </c>
      <c r="H31" s="35" t="n">
        <v>-12756</v>
      </c>
      <c r="I31" s="35" t="n">
        <v>-9274</v>
      </c>
      <c r="J31" s="35" t="n">
        <v>-10868</v>
      </c>
      <c r="K31" s="35" t="n">
        <v>-134990</v>
      </c>
      <c r="L31" s="35" t="n">
        <v>-128087</v>
      </c>
    </row>
    <row r="33" customFormat="false" ht="15" hidden="false" customHeight="true" outlineLevel="0" collapsed="false">
      <c r="A33" s="58" t="s">
        <v>363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customFormat="false" ht="15" hidden="false" customHeight="true" outlineLevel="0" collapsed="false">
      <c r="A34" s="8" t="s">
        <v>364</v>
      </c>
      <c r="B34" s="35" t="n">
        <v>100467</v>
      </c>
      <c r="C34" s="35" t="n">
        <v>109097</v>
      </c>
      <c r="D34" s="35" t="n">
        <v>111138</v>
      </c>
      <c r="E34" s="35" t="n">
        <v>114271</v>
      </c>
      <c r="F34" s="35" t="n">
        <v>119609</v>
      </c>
      <c r="G34" s="35" t="n">
        <v>130398</v>
      </c>
      <c r="H34" s="35" t="n">
        <v>133665</v>
      </c>
      <c r="I34" s="35" t="n">
        <v>156266</v>
      </c>
      <c r="J34" s="35" t="n">
        <v>184586</v>
      </c>
      <c r="K34" s="35" t="n">
        <v>197773</v>
      </c>
      <c r="L34" s="35" t="n">
        <v>171831</v>
      </c>
    </row>
    <row r="35" customFormat="false" ht="15" hidden="false" customHeight="true" outlineLevel="0" collapsed="false">
      <c r="A35" s="8" t="s">
        <v>189</v>
      </c>
      <c r="B35" s="38" t="n">
        <v>1.207</v>
      </c>
      <c r="C35" s="38" t="n">
        <v>1.238</v>
      </c>
      <c r="D35" s="38" t="n">
        <v>1.275</v>
      </c>
      <c r="E35" s="38" t="n">
        <v>1.313</v>
      </c>
      <c r="F35" s="38" t="n">
        <v>1.372</v>
      </c>
      <c r="G35" s="38" t="n">
        <v>1.38</v>
      </c>
      <c r="H35" s="38" t="n">
        <v>1.409</v>
      </c>
      <c r="I35" s="38" t="n">
        <v>1.45</v>
      </c>
      <c r="J35" s="38" t="n">
        <v>1.45</v>
      </c>
      <c r="K35" s="38" t="n">
        <v>1.4708</v>
      </c>
      <c r="L35" s="38" t="n">
        <v>1.546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A1:Q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5"/>
    <col collapsed="false" customWidth="true" hidden="false" outlineLevel="0" max="12" min="2" style="1" width="14"/>
  </cols>
  <sheetData>
    <row r="1" customFormat="false" ht="1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365</v>
      </c>
    </row>
    <row r="3" customFormat="false" ht="15" hidden="false" customHeight="true" outlineLevel="0" collapsed="false">
      <c r="A3" s="4" t="s">
        <v>366</v>
      </c>
    </row>
    <row r="5" customFormat="false" ht="15" hidden="false" customHeight="true" outlineLevel="0" collapsed="false">
      <c r="B5" s="5" t="s">
        <v>233</v>
      </c>
      <c r="C5" s="5" t="s">
        <v>234</v>
      </c>
      <c r="D5" s="5" t="s">
        <v>235</v>
      </c>
      <c r="E5" s="5" t="s">
        <v>236</v>
      </c>
      <c r="F5" s="5" t="s">
        <v>237</v>
      </c>
      <c r="G5" s="5" t="s">
        <v>238</v>
      </c>
      <c r="H5" s="5" t="s">
        <v>239</v>
      </c>
      <c r="I5" s="5" t="s">
        <v>240</v>
      </c>
      <c r="J5" s="5" t="s">
        <v>241</v>
      </c>
      <c r="K5" s="5" t="s">
        <v>242</v>
      </c>
      <c r="L5" s="5" t="s">
        <v>243</v>
      </c>
      <c r="M5" s="3" t="s">
        <v>3</v>
      </c>
      <c r="N5" s="3" t="s">
        <v>4</v>
      </c>
      <c r="O5" s="3" t="s">
        <v>5</v>
      </c>
      <c r="P5" s="3" t="s">
        <v>6</v>
      </c>
      <c r="Q5" s="3" t="s">
        <v>7</v>
      </c>
    </row>
    <row r="7" customFormat="false" ht="15" hidden="false" customHeight="true" outlineLevel="0" collapsed="false">
      <c r="A7" s="58" t="s">
        <v>367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customFormat="false" ht="15" hidden="false" customHeight="true" outlineLevel="0" collapsed="false">
      <c r="A8" s="8" t="s">
        <v>267</v>
      </c>
      <c r="B8" s="35" t="n">
        <v>345633</v>
      </c>
      <c r="C8" s="35" t="n">
        <v>439413</v>
      </c>
      <c r="D8" s="35" t="n">
        <v>836811</v>
      </c>
      <c r="E8" s="35" t="n">
        <v>1217671</v>
      </c>
      <c r="F8" s="35" t="n">
        <v>1195447</v>
      </c>
      <c r="G8" s="35" t="n">
        <v>925928</v>
      </c>
      <c r="H8" s="35" t="n">
        <v>1392795</v>
      </c>
      <c r="I8" s="35" t="n">
        <v>13637</v>
      </c>
      <c r="J8" s="35" t="n">
        <v>-488053</v>
      </c>
      <c r="K8" s="35" t="n">
        <v>292742</v>
      </c>
      <c r="L8" s="35" t="n">
        <v>197051</v>
      </c>
    </row>
    <row r="9" customFormat="false" ht="15" hidden="false" customHeight="true" outlineLevel="0" collapsed="false">
      <c r="A9" s="8" t="s">
        <v>368</v>
      </c>
      <c r="B9" s="35" t="n">
        <v>-173242</v>
      </c>
      <c r="C9" s="35" t="n">
        <v>-227335</v>
      </c>
      <c r="D9" s="35" t="n">
        <v>-626953</v>
      </c>
      <c r="E9" s="35" t="n">
        <v>-990529</v>
      </c>
      <c r="F9" s="35" t="n">
        <v>-892156</v>
      </c>
      <c r="G9" s="35" t="n">
        <v>-595859</v>
      </c>
      <c r="H9" s="35" t="n">
        <v>-1048742</v>
      </c>
      <c r="I9" s="35" t="n">
        <v>468327</v>
      </c>
      <c r="J9" s="35" t="n">
        <v>914585</v>
      </c>
      <c r="K9" s="35" t="n">
        <v>-58486</v>
      </c>
      <c r="L9" s="35" t="n">
        <v>84690</v>
      </c>
    </row>
    <row r="10" customFormat="false" ht="15" hidden="false" customHeight="true" outlineLevel="0" collapsed="false">
      <c r="A10" s="8" t="s">
        <v>369</v>
      </c>
      <c r="B10" s="35" t="n">
        <v>276</v>
      </c>
      <c r="C10" s="35" t="n">
        <v>731</v>
      </c>
      <c r="D10" s="35" t="n">
        <v>852</v>
      </c>
      <c r="E10" s="35" t="n">
        <v>1330</v>
      </c>
      <c r="F10" s="35" t="n">
        <v>0</v>
      </c>
      <c r="G10" s="35" t="n">
        <v>1230</v>
      </c>
      <c r="H10" s="35" t="n">
        <v>2082</v>
      </c>
      <c r="I10" s="35" t="n">
        <v>0</v>
      </c>
      <c r="J10" s="35" t="n">
        <v>0</v>
      </c>
      <c r="K10" s="35" t="n">
        <v>0</v>
      </c>
      <c r="L10" s="35" t="n">
        <v>0</v>
      </c>
    </row>
    <row r="11" customFormat="false" ht="15" hidden="false" customHeight="true" outlineLevel="0" collapsed="false">
      <c r="A11" s="8" t="s">
        <v>370</v>
      </c>
      <c r="B11" s="35" t="n">
        <v>639</v>
      </c>
      <c r="C11" s="35" t="n">
        <v>1813</v>
      </c>
      <c r="D11" s="35" t="n">
        <v>488</v>
      </c>
      <c r="E11" s="35" t="n">
        <v>2594</v>
      </c>
      <c r="F11" s="35" t="n">
        <v>0</v>
      </c>
      <c r="G11" s="35" t="n">
        <v>1387</v>
      </c>
      <c r="H11" s="35" t="n">
        <v>241</v>
      </c>
      <c r="I11" s="35" t="n">
        <v>1262</v>
      </c>
      <c r="J11" s="35" t="n">
        <v>0</v>
      </c>
      <c r="K11" s="35" t="n">
        <v>2027</v>
      </c>
      <c r="L11" s="35" t="n">
        <v>1159</v>
      </c>
    </row>
    <row r="12" customFormat="false" ht="15" hidden="false" customHeight="true" outlineLevel="0" collapsed="false">
      <c r="A12" s="8" t="s">
        <v>371</v>
      </c>
      <c r="B12" s="35" t="n">
        <v>13417</v>
      </c>
      <c r="C12" s="35" t="n">
        <v>19897</v>
      </c>
      <c r="D12" s="35" t="n">
        <v>26074</v>
      </c>
      <c r="E12" s="35" t="n">
        <v>34672</v>
      </c>
      <c r="F12" s="35" t="n">
        <v>14838</v>
      </c>
      <c r="G12" s="35" t="n">
        <v>5160</v>
      </c>
      <c r="H12" s="35" t="n">
        <v>15111</v>
      </c>
      <c r="I12" s="35" t="n">
        <v>8946</v>
      </c>
      <c r="J12" s="35" t="n">
        <v>7816</v>
      </c>
      <c r="K12" s="35" t="n">
        <v>6306</v>
      </c>
      <c r="L12" s="35" t="n">
        <v>9522</v>
      </c>
    </row>
    <row r="13" customFormat="false" ht="15" hidden="false" customHeight="true" outlineLevel="0" collapsed="false">
      <c r="A13" s="8" t="s">
        <v>372</v>
      </c>
      <c r="B13" s="35" t="n">
        <v>2799</v>
      </c>
      <c r="C13" s="35" t="n">
        <v>4249</v>
      </c>
      <c r="D13" s="35" t="n">
        <v>4434</v>
      </c>
      <c r="E13" s="35" t="n">
        <v>4740</v>
      </c>
      <c r="F13" s="35" t="n">
        <v>5177</v>
      </c>
      <c r="G13" s="35" t="n">
        <v>7668</v>
      </c>
      <c r="H13" s="35" t="n">
        <v>8105</v>
      </c>
      <c r="I13" s="35" t="n">
        <v>8463</v>
      </c>
      <c r="J13" s="35" t="n">
        <v>8862</v>
      </c>
      <c r="K13" s="35" t="n">
        <v>8756</v>
      </c>
      <c r="L13" s="35" t="n">
        <v>8378</v>
      </c>
    </row>
    <row r="14" customFormat="false" ht="15" hidden="false" customHeight="true" outlineLevel="0" collapsed="false">
      <c r="A14" s="8" t="s">
        <v>373</v>
      </c>
      <c r="B14" s="35" t="n">
        <v>-282</v>
      </c>
      <c r="C14" s="35" t="n">
        <v>397</v>
      </c>
      <c r="D14" s="35" t="n">
        <v>11866</v>
      </c>
      <c r="E14" s="35" t="n">
        <v>3006</v>
      </c>
      <c r="F14" s="35" t="n">
        <v>7303</v>
      </c>
      <c r="G14" s="35" t="n">
        <v>52672</v>
      </c>
      <c r="H14" s="35" t="n">
        <v>-2854</v>
      </c>
      <c r="I14" s="35" t="n">
        <v>20019</v>
      </c>
      <c r="J14" s="35" t="n">
        <v>34373</v>
      </c>
      <c r="K14" s="35" t="n">
        <v>5994</v>
      </c>
      <c r="L14" s="35" t="n">
        <v>19871</v>
      </c>
    </row>
    <row r="15" customFormat="false" ht="15" hidden="false" customHeight="true" outlineLevel="0" collapsed="false">
      <c r="A15" s="8" t="s">
        <v>374</v>
      </c>
      <c r="B15" s="35" t="n">
        <v>0</v>
      </c>
      <c r="C15" s="35" t="n">
        <v>0</v>
      </c>
      <c r="D15" s="35" t="n">
        <v>7263</v>
      </c>
      <c r="E15" s="35" t="n">
        <v>18794</v>
      </c>
      <c r="F15" s="35" t="n">
        <v>8118</v>
      </c>
      <c r="G15" s="35" t="n">
        <v>28563</v>
      </c>
      <c r="H15" s="35" t="n">
        <v>19107</v>
      </c>
      <c r="I15" s="35" t="n">
        <v>10034</v>
      </c>
      <c r="J15" s="35" t="n">
        <v>14408</v>
      </c>
      <c r="K15" s="35" t="n">
        <v>39439</v>
      </c>
      <c r="L15" s="35" t="n">
        <v>17476</v>
      </c>
    </row>
    <row r="16" customFormat="false" ht="15" hidden="false" customHeight="true" outlineLevel="0" collapsed="false">
      <c r="A16" s="8" t="s">
        <v>375</v>
      </c>
      <c r="B16" s="35" t="n">
        <v>7447</v>
      </c>
      <c r="C16" s="35" t="n">
        <v>-4441</v>
      </c>
      <c r="D16" s="35" t="n">
        <v>-3515</v>
      </c>
      <c r="E16" s="35" t="n">
        <v>2327</v>
      </c>
      <c r="F16" s="35" t="n">
        <v>-6006</v>
      </c>
      <c r="G16" s="35" t="n">
        <v>-5982</v>
      </c>
      <c r="H16" s="35" t="n">
        <v>5068</v>
      </c>
      <c r="I16" s="35" t="n">
        <v>-31878</v>
      </c>
      <c r="J16" s="35" t="n">
        <v>-4161</v>
      </c>
      <c r="K16" s="35" t="n">
        <v>26782</v>
      </c>
      <c r="L16" s="35" t="n">
        <v>4034</v>
      </c>
    </row>
    <row r="17" customFormat="false" ht="15" hidden="false" customHeight="true" outlineLevel="0" collapsed="false">
      <c r="A17" s="8" t="s">
        <v>376</v>
      </c>
      <c r="B17" s="35" t="n">
        <v>0</v>
      </c>
      <c r="C17" s="35" t="n">
        <v>0</v>
      </c>
      <c r="D17" s="35" t="n">
        <v>0</v>
      </c>
      <c r="E17" s="35" t="n">
        <v>0</v>
      </c>
      <c r="F17" s="35" t="n">
        <v>47058</v>
      </c>
      <c r="G17" s="35" t="n">
        <v>-24478</v>
      </c>
      <c r="H17" s="35" t="n">
        <v>38651</v>
      </c>
      <c r="I17" s="35" t="n">
        <v>-104822</v>
      </c>
      <c r="J17" s="35" t="n">
        <v>-45209</v>
      </c>
      <c r="K17" s="35" t="n">
        <v>118526</v>
      </c>
      <c r="L17" s="35" t="n">
        <v>39656</v>
      </c>
    </row>
    <row r="18" customFormat="false" ht="15" hidden="false" customHeight="true" outlineLevel="0" collapsed="false">
      <c r="A18" s="8" t="s">
        <v>377</v>
      </c>
      <c r="B18" s="35" t="n">
        <v>0</v>
      </c>
      <c r="C18" s="35" t="n">
        <v>0</v>
      </c>
      <c r="D18" s="35" t="n">
        <v>0</v>
      </c>
      <c r="E18" s="35" t="n">
        <v>0</v>
      </c>
      <c r="F18" s="35" t="n">
        <v>8527</v>
      </c>
      <c r="G18" s="35" t="n">
        <v>0</v>
      </c>
      <c r="H18" s="35" t="n">
        <v>0</v>
      </c>
      <c r="I18" s="35" t="n">
        <v>6174</v>
      </c>
      <c r="J18" s="35" t="n">
        <v>13911</v>
      </c>
      <c r="K18" s="35" t="n">
        <v>28532</v>
      </c>
      <c r="L18" s="35" t="n">
        <v>42588</v>
      </c>
    </row>
    <row r="19" customFormat="false" ht="15" hidden="false" customHeight="true" outlineLevel="0" collapsed="false">
      <c r="A19" s="8" t="s">
        <v>378</v>
      </c>
      <c r="B19" s="35" t="n">
        <v>0</v>
      </c>
      <c r="C19" s="35" t="n">
        <v>0</v>
      </c>
      <c r="D19" s="35" t="n">
        <v>0</v>
      </c>
      <c r="E19" s="35" t="n">
        <v>0</v>
      </c>
      <c r="F19" s="35" t="n">
        <v>0</v>
      </c>
      <c r="G19" s="35" t="n">
        <v>0</v>
      </c>
      <c r="H19" s="35" t="n">
        <v>0</v>
      </c>
      <c r="I19" s="35" t="n">
        <v>0</v>
      </c>
      <c r="J19" s="35" t="n">
        <v>0</v>
      </c>
      <c r="K19" s="35" t="n">
        <v>0</v>
      </c>
      <c r="L19" s="35" t="n">
        <v>0</v>
      </c>
    </row>
    <row r="21" customFormat="false" ht="15" hidden="false" customHeight="true" outlineLevel="0" collapsed="false">
      <c r="A21" s="3" t="s">
        <v>379</v>
      </c>
      <c r="B21" s="36" t="n">
        <v>191356</v>
      </c>
      <c r="C21" s="36" t="n">
        <v>223229</v>
      </c>
      <c r="D21" s="36" t="n">
        <v>245523</v>
      </c>
      <c r="E21" s="36" t="n">
        <v>285217</v>
      </c>
      <c r="F21" s="36" t="n">
        <v>334628</v>
      </c>
      <c r="G21" s="36" t="n">
        <v>386388</v>
      </c>
      <c r="H21" s="36" t="n">
        <v>392419</v>
      </c>
      <c r="I21" s="36" t="n">
        <v>398940</v>
      </c>
      <c r="J21" s="36" t="n">
        <v>407662</v>
      </c>
      <c r="K21" s="36" t="n">
        <v>428640</v>
      </c>
      <c r="L21" s="36" t="n">
        <v>406388</v>
      </c>
      <c r="M21" s="27" t="n">
        <f aca="false">IS!M33-IS!M18-IS!M16+5000</f>
        <v>397760.8316884</v>
      </c>
      <c r="N21" s="27" t="n">
        <f aca="false">IS!N33-IS!N18-IS!N16+5000</f>
        <v>402114.40466408</v>
      </c>
      <c r="O21" s="27" t="n">
        <f aca="false">IS!O33-IS!O18-IS!O16+5000</f>
        <v>412363.565839531</v>
      </c>
      <c r="P21" s="27" t="n">
        <f aca="false">IS!P33-IS!P18-IS!P16+5000</f>
        <v>422271.633256431</v>
      </c>
      <c r="Q21" s="27" t="n">
        <f aca="false">IS!Q33-IS!Q18-IS!Q16+5000</f>
        <v>434259.899598338</v>
      </c>
    </row>
    <row r="22" customFormat="false" ht="15" hidden="false" customHeight="true" outlineLevel="0" collapsed="false">
      <c r="A22" s="8" t="s">
        <v>380</v>
      </c>
      <c r="B22" s="38" t="n">
        <v>1.596</v>
      </c>
      <c r="C22" s="38" t="n">
        <v>1.685</v>
      </c>
      <c r="D22" s="38" t="n">
        <v>1.782</v>
      </c>
      <c r="E22" s="38" t="n">
        <v>1.979</v>
      </c>
      <c r="F22" s="38" t="n">
        <v>2.103</v>
      </c>
      <c r="G22" s="38" t="n">
        <v>2.25</v>
      </c>
      <c r="H22" s="38" t="n">
        <v>2.255</v>
      </c>
      <c r="I22" s="38" t="n">
        <v>2.282</v>
      </c>
      <c r="J22" s="38" t="n">
        <v>2.396</v>
      </c>
      <c r="K22" s="38" t="n">
        <v>2.534</v>
      </c>
      <c r="L22" s="38" t="n">
        <v>2.541</v>
      </c>
      <c r="M22" s="39" t="n">
        <f aca="false">M21/Assumptions!B80</f>
        <v>2.5365379916382</v>
      </c>
      <c r="N22" s="39" t="n">
        <f aca="false">N21/Assumptions!C80</f>
        <v>2.57879748084246</v>
      </c>
      <c r="O22" s="39" t="n">
        <f aca="false">O21/Assumptions!D80</f>
        <v>2.64452631500865</v>
      </c>
      <c r="P22" s="39" t="n">
        <f aca="false">P21/Assumptions!E80</f>
        <v>2.70806768283422</v>
      </c>
      <c r="Q22" s="39" t="n">
        <f aca="false">Q21/Assumptions!F80</f>
        <v>2.7849495619303</v>
      </c>
    </row>
    <row r="23" customFormat="false" ht="15" hidden="false" customHeight="true" outlineLevel="0" collapsed="false">
      <c r="A23" s="8" t="s">
        <v>381</v>
      </c>
      <c r="C23" s="9" t="n">
        <f aca="false">C21/B21-1</f>
        <v>0.16656389138569</v>
      </c>
      <c r="D23" s="9" t="n">
        <f aca="false">D21/C21-1</f>
        <v>0.0998705365342316</v>
      </c>
      <c r="E23" s="9" t="n">
        <f aca="false">E21/D21-1</f>
        <v>0.161671207992734</v>
      </c>
      <c r="F23" s="9" t="n">
        <f aca="false">F21/E21-1</f>
        <v>0.173240024262229</v>
      </c>
      <c r="G23" s="9" t="n">
        <f aca="false">G21/F21-1</f>
        <v>0.154679225886656</v>
      </c>
      <c r="H23" s="9" t="n">
        <f aca="false">H21/G21-1</f>
        <v>0.0156086627949108</v>
      </c>
      <c r="I23" s="9" t="n">
        <f aca="false">I21/H21-1</f>
        <v>0.0166174420708478</v>
      </c>
      <c r="J23" s="9" t="n">
        <f aca="false">J21/I21-1</f>
        <v>0.0218629367824736</v>
      </c>
      <c r="K23" s="9" t="n">
        <f aca="false">K21/J21-1</f>
        <v>0.0514592971628456</v>
      </c>
      <c r="L23" s="9" t="n">
        <f aca="false">L21/K21-1</f>
        <v>-0.0519130272489735</v>
      </c>
      <c r="M23" s="9" t="n">
        <f aca="false">M21/L21-1</f>
        <v>-0.0212288953207279</v>
      </c>
      <c r="N23" s="9" t="n">
        <f aca="false">N21/M21-1</f>
        <v>0.010945202817483</v>
      </c>
      <c r="O23" s="9" t="n">
        <f aca="false">O21/N21-1</f>
        <v>0.0254881721633731</v>
      </c>
      <c r="P23" s="9" t="n">
        <f aca="false">P21/O21-1</f>
        <v>0.0240275044589073</v>
      </c>
      <c r="Q23" s="9" t="n">
        <f aca="false">Q21/P21-1</f>
        <v>0.0283899400238117</v>
      </c>
    </row>
    <row r="25" customFormat="false" ht="15" hidden="false" customHeight="true" outlineLevel="0" collapsed="false">
      <c r="A25" s="58" t="s">
        <v>382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customFormat="false" ht="15" hidden="false" customHeight="true" outlineLevel="0" collapsed="false">
      <c r="A26" s="8" t="s">
        <v>383</v>
      </c>
      <c r="C26" s="35" t="n">
        <v>231808</v>
      </c>
      <c r="D26" s="35" t="n">
        <v>250474</v>
      </c>
      <c r="E26" s="35" t="n">
        <v>289335</v>
      </c>
      <c r="F26" s="35" t="n">
        <v>339121</v>
      </c>
      <c r="G26" s="35" t="n">
        <v>388958</v>
      </c>
      <c r="H26" s="35" t="n">
        <v>402194</v>
      </c>
      <c r="I26" s="35" t="n">
        <v>406347</v>
      </c>
    </row>
    <row r="27" customFormat="false" ht="15" hidden="false" customHeight="true" outlineLevel="0" collapsed="false">
      <c r="A27" s="8" t="s">
        <v>384</v>
      </c>
      <c r="C27" s="38" t="n">
        <v>1.75</v>
      </c>
      <c r="D27" s="38" t="n">
        <v>1.817</v>
      </c>
      <c r="E27" s="38" t="n">
        <v>2.007</v>
      </c>
      <c r="F27" s="38" t="n">
        <v>2.131</v>
      </c>
      <c r="G27" s="38" t="n">
        <v>2.265</v>
      </c>
      <c r="H27" s="38" t="n">
        <v>2.311</v>
      </c>
      <c r="I27" s="38" t="n">
        <v>2.328</v>
      </c>
    </row>
    <row r="29" customFormat="false" ht="15" hidden="false" customHeight="true" outlineLevel="0" collapsed="false">
      <c r="A29" s="58" t="s">
        <v>385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customFormat="false" ht="15" hidden="false" customHeight="true" outlineLevel="0" collapsed="false">
      <c r="A30" s="8" t="s">
        <v>386</v>
      </c>
      <c r="D30" s="35" t="n">
        <v>208450</v>
      </c>
      <c r="E30" s="35" t="n">
        <v>265370</v>
      </c>
      <c r="F30" s="35" t="n">
        <v>278839</v>
      </c>
      <c r="G30" s="35" t="n">
        <v>264710</v>
      </c>
      <c r="H30" s="35" t="n">
        <v>301152</v>
      </c>
      <c r="I30" s="35" t="n">
        <v>327151</v>
      </c>
      <c r="J30" s="35" t="n">
        <v>324760</v>
      </c>
      <c r="K30" s="35" t="n">
        <v>338771</v>
      </c>
      <c r="L30" s="35" t="n">
        <v>312528</v>
      </c>
    </row>
    <row r="32" customFormat="false" ht="15" hidden="false" customHeight="true" outlineLevel="0" collapsed="false">
      <c r="A32" s="58" t="s">
        <v>387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customFormat="false" ht="15" hidden="false" customHeight="true" outlineLevel="0" collapsed="false">
      <c r="A33" s="8" t="s">
        <v>388</v>
      </c>
      <c r="B33" s="38" t="n">
        <v>1.207</v>
      </c>
      <c r="C33" s="38" t="n">
        <v>1.238</v>
      </c>
      <c r="D33" s="38" t="n">
        <v>1.275</v>
      </c>
      <c r="E33" s="38" t="n">
        <v>1.313</v>
      </c>
      <c r="F33" s="38" t="n">
        <v>1.372</v>
      </c>
      <c r="G33" s="38" t="n">
        <v>1.38</v>
      </c>
      <c r="H33" s="38" t="n">
        <v>1.409</v>
      </c>
      <c r="I33" s="38" t="n">
        <v>1.45</v>
      </c>
      <c r="J33" s="38" t="n">
        <v>1.45</v>
      </c>
      <c r="K33" s="38" t="n">
        <v>1.4708</v>
      </c>
      <c r="L33" s="38" t="n">
        <v>1.546</v>
      </c>
      <c r="M33" s="39" t="n">
        <f aca="false">Assumptions!B74</f>
        <v>1.6</v>
      </c>
      <c r="N33" s="39" t="n">
        <f aca="false">Assumptions!C74</f>
        <v>1.6</v>
      </c>
      <c r="O33" s="39" t="n">
        <f aca="false">Assumptions!D74</f>
        <v>1.6</v>
      </c>
      <c r="P33" s="39" t="n">
        <f aca="false">Assumptions!E74</f>
        <v>1.6</v>
      </c>
      <c r="Q33" s="39" t="n">
        <f aca="false">Assumptions!F74</f>
        <v>1.6</v>
      </c>
    </row>
    <row r="34" customFormat="false" ht="15" hidden="false" customHeight="true" outlineLevel="0" collapsed="false">
      <c r="A34" s="8" t="s">
        <v>389</v>
      </c>
      <c r="B34" s="43" t="n">
        <v>0.756265664160401</v>
      </c>
      <c r="C34" s="43" t="n">
        <v>0.734718100890208</v>
      </c>
      <c r="D34" s="43" t="n">
        <v>0.715488215488215</v>
      </c>
      <c r="E34" s="43" t="n">
        <v>0.663466397170288</v>
      </c>
      <c r="F34" s="43" t="n">
        <v>0.652401331431289</v>
      </c>
      <c r="G34" s="43" t="n">
        <v>0.613333333333333</v>
      </c>
      <c r="H34" s="43" t="n">
        <v>0.624833702882483</v>
      </c>
      <c r="I34" s="43" t="n">
        <v>0.635407537248028</v>
      </c>
      <c r="J34" s="43" t="n">
        <v>0.605175292153589</v>
      </c>
      <c r="K34" s="43" t="n">
        <v>0.580426203630624</v>
      </c>
      <c r="L34" s="43" t="n">
        <v>0.608421881149154</v>
      </c>
      <c r="M34" s="9" t="n">
        <f aca="false">M33/M22</f>
        <v>0.630781011470937</v>
      </c>
      <c r="N34" s="9" t="n">
        <f aca="false">N33/N22</f>
        <v>0.620444223280883</v>
      </c>
      <c r="O34" s="9" t="n">
        <f aca="false">O33/O22</f>
        <v>0.605023285614296</v>
      </c>
      <c r="P34" s="9" t="n">
        <f aca="false">P33/P22</f>
        <v>0.590827182844067</v>
      </c>
      <c r="Q34" s="9" t="n">
        <f aca="false">Q33/Q22</f>
        <v>0.574516688514462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Q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5"/>
    <col collapsed="false" customWidth="true" hidden="false" outlineLevel="0" max="12" min="2" style="1" width="14"/>
  </cols>
  <sheetData>
    <row r="1" customFormat="false" ht="1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390</v>
      </c>
    </row>
    <row r="3" customFormat="false" ht="15" hidden="false" customHeight="true" outlineLevel="0" collapsed="false">
      <c r="A3" s="4" t="s">
        <v>391</v>
      </c>
    </row>
    <row r="5" customFormat="false" ht="15" hidden="false" customHeight="true" outlineLevel="0" collapsed="false">
      <c r="B5" s="5" t="s">
        <v>233</v>
      </c>
      <c r="C5" s="5" t="s">
        <v>234</v>
      </c>
      <c r="D5" s="5" t="s">
        <v>235</v>
      </c>
      <c r="E5" s="5" t="s">
        <v>236</v>
      </c>
      <c r="F5" s="5" t="s">
        <v>237</v>
      </c>
      <c r="G5" s="5" t="s">
        <v>238</v>
      </c>
      <c r="H5" s="5" t="s">
        <v>239</v>
      </c>
      <c r="I5" s="5" t="s">
        <v>240</v>
      </c>
      <c r="J5" s="5" t="s">
        <v>241</v>
      </c>
      <c r="K5" s="5" t="s">
        <v>242</v>
      </c>
      <c r="L5" s="5" t="s">
        <v>243</v>
      </c>
      <c r="M5" s="3" t="s">
        <v>3</v>
      </c>
      <c r="N5" s="3" t="s">
        <v>4</v>
      </c>
      <c r="O5" s="3" t="s">
        <v>5</v>
      </c>
      <c r="P5" s="3" t="s">
        <v>6</v>
      </c>
      <c r="Q5" s="3" t="s">
        <v>7</v>
      </c>
    </row>
    <row r="7" customFormat="false" ht="15" hidden="false" customHeight="true" outlineLevel="0" collapsed="false">
      <c r="A7" s="58" t="s">
        <v>392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customFormat="false" ht="15" hidden="false" customHeight="true" outlineLevel="0" collapsed="false">
      <c r="A8" s="8" t="s">
        <v>393</v>
      </c>
      <c r="B8" s="35" t="n">
        <v>292824</v>
      </c>
      <c r="C8" s="35" t="n">
        <v>361358</v>
      </c>
      <c r="D8" s="35" t="n">
        <v>358941</v>
      </c>
      <c r="E8" s="35" t="n">
        <v>431177</v>
      </c>
      <c r="F8" s="35" t="n">
        <v>454629</v>
      </c>
      <c r="G8" s="35" t="n">
        <v>481356</v>
      </c>
      <c r="H8" s="35" t="n">
        <v>551433</v>
      </c>
      <c r="I8" s="35" t="n">
        <v>598027</v>
      </c>
      <c r="J8" s="35" t="n">
        <v>615919</v>
      </c>
      <c r="K8" s="35" t="n">
        <v>648845</v>
      </c>
      <c r="L8" s="35" t="n">
        <v>568824</v>
      </c>
      <c r="M8" s="50" t="n">
        <f aca="false">Assumptions!B88</f>
        <v>573924.2824884</v>
      </c>
      <c r="N8" s="50" t="n">
        <f aca="false">Assumptions!C88</f>
        <v>573513.678592649</v>
      </c>
      <c r="O8" s="50" t="n">
        <f aca="false">Assumptions!D88</f>
        <v>585639.848282528</v>
      </c>
      <c r="P8" s="50" t="n">
        <f aca="false">Assumptions!E88</f>
        <v>606148.720349206</v>
      </c>
      <c r="Q8" s="50" t="n">
        <f aca="false">Assumptions!F88</f>
        <v>628440.347632962</v>
      </c>
    </row>
    <row r="9" customFormat="false" ht="15" hidden="false" customHeight="true" outlineLevel="0" collapsed="false">
      <c r="A9" s="4" t="s">
        <v>394</v>
      </c>
    </row>
    <row r="10" customFormat="false" ht="15" hidden="false" customHeight="true" outlineLevel="0" collapsed="false">
      <c r="A10" s="8" t="s">
        <v>395</v>
      </c>
      <c r="B10" s="35" t="n">
        <v>-100467</v>
      </c>
      <c r="C10" s="35" t="n">
        <v>-109097</v>
      </c>
      <c r="D10" s="35" t="n">
        <v>-111138</v>
      </c>
      <c r="E10" s="35" t="n">
        <v>-114271</v>
      </c>
      <c r="F10" s="35" t="n">
        <v>-119609</v>
      </c>
      <c r="G10" s="35" t="n">
        <v>-130398</v>
      </c>
      <c r="H10" s="35" t="n">
        <v>-133665</v>
      </c>
      <c r="I10" s="35" t="n">
        <v>-156266</v>
      </c>
      <c r="J10" s="35" t="n">
        <v>-184586</v>
      </c>
      <c r="K10" s="35" t="n">
        <v>-197773</v>
      </c>
      <c r="L10" s="35" t="n">
        <v>-171831</v>
      </c>
      <c r="M10" s="50" t="n">
        <f aca="false">Assumptions!B89</f>
        <v>-183963.4508</v>
      </c>
      <c r="N10" s="50" t="n">
        <f aca="false">Assumptions!C89</f>
        <v>-179199.273928569</v>
      </c>
      <c r="O10" s="50" t="n">
        <f aca="false">Assumptions!D89</f>
        <v>-181076.282442997</v>
      </c>
      <c r="P10" s="50" t="n">
        <f aca="false">Assumptions!E89</f>
        <v>-191677.087092775</v>
      </c>
      <c r="Q10" s="50" t="n">
        <f aca="false">Assumptions!F89</f>
        <v>-201980.448034624</v>
      </c>
    </row>
    <row r="11" customFormat="false" ht="15" hidden="false" customHeight="true" outlineLevel="0" collapsed="false">
      <c r="A11" s="47" t="s">
        <v>396</v>
      </c>
      <c r="B11" s="48" t="n">
        <f aca="false">B8+B10</f>
        <v>192357</v>
      </c>
      <c r="C11" s="48" t="n">
        <f aca="false">C8+C10</f>
        <v>252261</v>
      </c>
      <c r="D11" s="48" t="n">
        <f aca="false">D8+D10</f>
        <v>247803</v>
      </c>
      <c r="E11" s="48" t="n">
        <f aca="false">E8+E10</f>
        <v>316906</v>
      </c>
      <c r="F11" s="48" t="n">
        <f aca="false">F8+F10</f>
        <v>335020</v>
      </c>
      <c r="G11" s="48" t="n">
        <f aca="false">G8+G10</f>
        <v>350958</v>
      </c>
      <c r="H11" s="48" t="n">
        <f aca="false">H8+H10</f>
        <v>417768</v>
      </c>
      <c r="I11" s="48" t="n">
        <f aca="false">I8+I10</f>
        <v>441761</v>
      </c>
      <c r="J11" s="48" t="n">
        <f aca="false">J8+J10</f>
        <v>431333</v>
      </c>
      <c r="K11" s="48" t="n">
        <f aca="false">K8+K10</f>
        <v>451072</v>
      </c>
      <c r="L11" s="48" t="n">
        <f aca="false">L8+L10</f>
        <v>396993</v>
      </c>
      <c r="M11" s="17" t="n">
        <f aca="false">M8+M10</f>
        <v>389960.8316884</v>
      </c>
      <c r="N11" s="17" t="n">
        <f aca="false">N8+N10</f>
        <v>394314.40466408</v>
      </c>
      <c r="O11" s="17" t="n">
        <f aca="false">O8+O10</f>
        <v>404563.565839531</v>
      </c>
      <c r="P11" s="17" t="n">
        <f aca="false">P8+P10</f>
        <v>414471.633256431</v>
      </c>
      <c r="Q11" s="17" t="n">
        <f aca="false">Q8+Q10</f>
        <v>426459.899598338</v>
      </c>
    </row>
    <row r="12" customFormat="false" ht="15" hidden="false" customHeight="true" outlineLevel="0" collapsed="false">
      <c r="A12" s="8" t="s">
        <v>397</v>
      </c>
      <c r="B12" s="35" t="n">
        <v>-174027</v>
      </c>
      <c r="C12" s="35" t="n">
        <v>-197493</v>
      </c>
      <c r="D12" s="35" t="n">
        <v>-163728</v>
      </c>
      <c r="E12" s="35" t="n">
        <v>-203784</v>
      </c>
      <c r="F12" s="35" t="n">
        <v>-242357</v>
      </c>
      <c r="G12" s="35" t="n">
        <v>-244857</v>
      </c>
      <c r="H12" s="35" t="n">
        <v>-299419</v>
      </c>
      <c r="I12" s="35" t="n">
        <v>-336467</v>
      </c>
      <c r="J12" s="35" t="n">
        <v>-307831</v>
      </c>
      <c r="K12" s="35" t="n">
        <v>-249808</v>
      </c>
      <c r="L12" s="35" t="n">
        <v>-241587</v>
      </c>
      <c r="M12" s="50" t="n">
        <f aca="false">-Assumptions!B68</f>
        <v>-203400</v>
      </c>
      <c r="N12" s="50" t="n">
        <f aca="false">-Assumptions!C68</f>
        <v>-207225</v>
      </c>
      <c r="O12" s="50" t="n">
        <f aca="false">-Assumptions!D68</f>
        <v>-211725</v>
      </c>
      <c r="P12" s="50" t="n">
        <f aca="false">-Assumptions!E68</f>
        <v>-216225</v>
      </c>
      <c r="Q12" s="50" t="n">
        <f aca="false">-Assumptions!F68</f>
        <v>-220725</v>
      </c>
    </row>
    <row r="14" customFormat="false" ht="15" hidden="false" customHeight="true" outlineLevel="0" collapsed="false">
      <c r="A14" s="47" t="s">
        <v>398</v>
      </c>
      <c r="B14" s="48" t="n">
        <f aca="false">B11+B12</f>
        <v>18330</v>
      </c>
      <c r="C14" s="48" t="n">
        <f aca="false">C11+C12</f>
        <v>54768</v>
      </c>
      <c r="D14" s="48" t="n">
        <f aca="false">D11+D12</f>
        <v>84075</v>
      </c>
      <c r="E14" s="48" t="n">
        <f aca="false">E11+E12</f>
        <v>113122</v>
      </c>
      <c r="F14" s="48" t="n">
        <f aca="false">F11+F12</f>
        <v>92663</v>
      </c>
      <c r="G14" s="48" t="n">
        <f aca="false">G11+G12</f>
        <v>106101</v>
      </c>
      <c r="H14" s="48" t="n">
        <f aca="false">H11+H12</f>
        <v>118349</v>
      </c>
      <c r="I14" s="48" t="n">
        <f aca="false">I11+I12</f>
        <v>105294</v>
      </c>
      <c r="J14" s="48" t="n">
        <f aca="false">J11+J12</f>
        <v>123502</v>
      </c>
      <c r="K14" s="48" t="n">
        <f aca="false">K11+K12</f>
        <v>201264</v>
      </c>
      <c r="L14" s="48" t="n">
        <f aca="false">L11+L12</f>
        <v>155406</v>
      </c>
      <c r="M14" s="17" t="n">
        <f aca="false">M11+M12</f>
        <v>186560.8316884</v>
      </c>
      <c r="N14" s="17" t="n">
        <f aca="false">N11+N12</f>
        <v>187089.40466408</v>
      </c>
      <c r="O14" s="17" t="n">
        <f aca="false">O11+O12</f>
        <v>192838.565839531</v>
      </c>
      <c r="P14" s="17" t="n">
        <f aca="false">P11+P12</f>
        <v>198246.633256431</v>
      </c>
      <c r="Q14" s="17" t="n">
        <f aca="false">Q11+Q12</f>
        <v>205734.899598338</v>
      </c>
    </row>
    <row r="15" customFormat="false" ht="15" hidden="false" customHeight="true" outlineLevel="0" collapsed="false">
      <c r="A15" s="8" t="s">
        <v>188</v>
      </c>
      <c r="B15" s="40" t="n">
        <f aca="false">B14/119926</f>
        <v>0.152844253956607</v>
      </c>
      <c r="C15" s="40" t="n">
        <f aca="false">C14/132482</f>
        <v>0.413399556166121</v>
      </c>
      <c r="D15" s="40" t="n">
        <f aca="false">D14/137828</f>
        <v>0.609999419566416</v>
      </c>
      <c r="E15" s="40" t="n">
        <f aca="false">E14/144175</f>
        <v>0.78461591815502</v>
      </c>
      <c r="F15" s="40" t="n">
        <f aca="false">F14/159115</f>
        <v>0.582364956163781</v>
      </c>
      <c r="G15" s="40" t="n">
        <f aca="false">G14/171694</f>
        <v>0.617965683133948</v>
      </c>
      <c r="H15" s="40" t="n">
        <f aca="false">H14/174041</f>
        <v>0.680006435265254</v>
      </c>
      <c r="I15" s="40" t="n">
        <f aca="false">I14/174816</f>
        <v>0.602313289401428</v>
      </c>
      <c r="J15" s="40" t="n">
        <f aca="false">J14/170117</f>
        <v>0.725982706019975</v>
      </c>
      <c r="K15" s="40" t="n">
        <f aca="false">K14/169160</f>
        <v>1.18978481910617</v>
      </c>
      <c r="L15" s="40" t="n">
        <f aca="false">L14/159935</f>
        <v>0.971682245912402</v>
      </c>
      <c r="M15" s="59" t="n">
        <f aca="false">M14/Assumptions!B80</f>
        <v>1.18970647592561</v>
      </c>
      <c r="N15" s="59" t="n">
        <f aca="false">N14/Assumptions!C80</f>
        <v>1.19982194083072</v>
      </c>
      <c r="O15" s="59" t="n">
        <f aca="false">O14/Assumptions!D80</f>
        <v>1.2366918519412</v>
      </c>
      <c r="P15" s="59" t="n">
        <f aca="false">P14/Assumptions!E80</f>
        <v>1.27137429671106</v>
      </c>
      <c r="Q15" s="59" t="n">
        <f aca="false">Q14/Assumptions!F80</f>
        <v>1.31939725275145</v>
      </c>
    </row>
    <row r="17" customFormat="false" ht="15" hidden="false" customHeight="true" outlineLevel="0" collapsed="false">
      <c r="A17" s="58" t="s">
        <v>399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customFormat="false" ht="15" hidden="false" customHeight="true" outlineLevel="0" collapsed="false">
      <c r="A18" s="8" t="s">
        <v>400</v>
      </c>
      <c r="B18" s="38" t="n">
        <v>1.207</v>
      </c>
      <c r="C18" s="38" t="n">
        <v>1.238</v>
      </c>
      <c r="D18" s="38" t="n">
        <v>1.275</v>
      </c>
      <c r="E18" s="38" t="n">
        <v>1.313</v>
      </c>
      <c r="F18" s="38" t="n">
        <v>1.372</v>
      </c>
      <c r="G18" s="38" t="n">
        <v>1.38</v>
      </c>
      <c r="H18" s="38" t="n">
        <v>1.409</v>
      </c>
      <c r="I18" s="38" t="n">
        <v>1.45</v>
      </c>
      <c r="J18" s="38" t="n">
        <v>1.45</v>
      </c>
      <c r="K18" s="38" t="n">
        <v>1.4708</v>
      </c>
      <c r="L18" s="38" t="n">
        <v>1.546</v>
      </c>
      <c r="M18" s="60" t="n">
        <f aca="false">Assumptions!B74</f>
        <v>1.6</v>
      </c>
      <c r="N18" s="60" t="n">
        <f aca="false">Assumptions!C74</f>
        <v>1.6</v>
      </c>
      <c r="O18" s="60" t="n">
        <f aca="false">Assumptions!D74</f>
        <v>1.6</v>
      </c>
      <c r="P18" s="60" t="n">
        <f aca="false">Assumptions!E74</f>
        <v>1.6</v>
      </c>
      <c r="Q18" s="60" t="n">
        <f aca="false">Assumptions!F74</f>
        <v>1.6</v>
      </c>
    </row>
    <row r="19" customFormat="false" ht="15" hidden="false" customHeight="true" outlineLevel="0" collapsed="false">
      <c r="A19" s="8" t="s">
        <v>401</v>
      </c>
      <c r="B19" s="9" t="n">
        <f aca="false">B18/B15</f>
        <v>7.89692755046372</v>
      </c>
      <c r="C19" s="9" t="n">
        <f aca="false">C18/C15</f>
        <v>2.99468149284254</v>
      </c>
      <c r="D19" s="9" t="n">
        <f aca="false">D18/D15</f>
        <v>2.09016592328278</v>
      </c>
      <c r="E19" s="9" t="n">
        <f aca="false">E18/E15</f>
        <v>1.67343023461396</v>
      </c>
      <c r="F19" s="9" t="n">
        <f aca="false">F18/F15</f>
        <v>2.35591098928375</v>
      </c>
      <c r="G19" s="9" t="n">
        <f aca="false">G18/G15</f>
        <v>2.2331337122176</v>
      </c>
      <c r="H19" s="9" t="n">
        <f aca="false">H18/H15</f>
        <v>2.07203921452653</v>
      </c>
      <c r="I19" s="9" t="n">
        <f aca="false">I18/I15</f>
        <v>2.4073850361844</v>
      </c>
      <c r="J19" s="9" t="n">
        <f aca="false">J18/J15</f>
        <v>1.99729275639261</v>
      </c>
      <c r="K19" s="9" t="n">
        <f aca="false">K18/K15</f>
        <v>1.23618991970745</v>
      </c>
      <c r="L19" s="9" t="n">
        <f aca="false">L18/L15</f>
        <v>1.59105510726742</v>
      </c>
      <c r="M19" s="15" t="n">
        <f aca="false">M18/M15</f>
        <v>1.34486953914845</v>
      </c>
      <c r="N19" s="15" t="n">
        <f aca="false">N18/N15</f>
        <v>1.33353120621566</v>
      </c>
      <c r="O19" s="15" t="n">
        <f aca="false">O18/O15</f>
        <v>1.29377419078853</v>
      </c>
      <c r="P19" s="15" t="n">
        <f aca="false">P18/P15</f>
        <v>1.25848068829066</v>
      </c>
      <c r="Q19" s="15" t="n">
        <f aca="false">Q18/Q15</f>
        <v>1.21267495188685</v>
      </c>
    </row>
    <row r="20" customFormat="false" ht="15" hidden="false" customHeight="true" outlineLevel="0" collapsed="false">
      <c r="A20" s="8" t="s">
        <v>402</v>
      </c>
      <c r="B20" s="40" t="n">
        <f aca="false">B15-B18</f>
        <v>-1.05415574604339</v>
      </c>
      <c r="C20" s="40" t="n">
        <f aca="false">C15-C18</f>
        <v>-0.824600443833879</v>
      </c>
      <c r="D20" s="40" t="n">
        <f aca="false">D15-D18</f>
        <v>-0.665000580433584</v>
      </c>
      <c r="E20" s="40" t="n">
        <f aca="false">E15-E18</f>
        <v>-0.52838408184498</v>
      </c>
      <c r="F20" s="40" t="n">
        <f aca="false">F15-F18</f>
        <v>-0.789635043836219</v>
      </c>
      <c r="G20" s="40" t="n">
        <f aca="false">G15-G18</f>
        <v>-0.762034316866052</v>
      </c>
      <c r="H20" s="40" t="n">
        <f aca="false">H15-H18</f>
        <v>-0.728993564734746</v>
      </c>
      <c r="I20" s="40" t="n">
        <f aca="false">I15-I18</f>
        <v>-0.847686710598572</v>
      </c>
      <c r="J20" s="40" t="n">
        <f aca="false">J15-J18</f>
        <v>-0.724017293980026</v>
      </c>
      <c r="K20" s="40" t="n">
        <f aca="false">K15-K18</f>
        <v>-0.281015180893828</v>
      </c>
      <c r="L20" s="40" t="n">
        <f aca="false">L15-L18</f>
        <v>-0.574317754087598</v>
      </c>
      <c r="M20" s="59" t="n">
        <f aca="false">M15-M18</f>
        <v>-0.410293524074391</v>
      </c>
      <c r="N20" s="59" t="n">
        <f aca="false">N15-N18</f>
        <v>-0.40017805916928</v>
      </c>
      <c r="O20" s="59" t="n">
        <f aca="false">O15-O18</f>
        <v>-0.363308148058799</v>
      </c>
      <c r="P20" s="59" t="n">
        <f aca="false">P15-P18</f>
        <v>-0.328625703288936</v>
      </c>
      <c r="Q20" s="59" t="n">
        <f aca="false">Q15-Q18</f>
        <v>-0.280602747248554</v>
      </c>
    </row>
    <row r="22" customFormat="false" ht="15" hidden="false" customHeight="true" outlineLevel="0" collapsed="false">
      <c r="A22" s="58" t="s">
        <v>403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customFormat="false" ht="15" hidden="false" customHeight="true" outlineLevel="0" collapsed="false">
      <c r="A23" s="8" t="s">
        <v>404</v>
      </c>
      <c r="B23" s="35" t="n">
        <v>324614</v>
      </c>
      <c r="C23" s="35" t="n">
        <v>366947</v>
      </c>
      <c r="D23" s="35" t="n">
        <v>393258</v>
      </c>
      <c r="E23" s="35" t="n">
        <v>439056</v>
      </c>
      <c r="F23" s="35" t="n">
        <v>508150</v>
      </c>
      <c r="G23" s="35" t="n">
        <v>578171</v>
      </c>
      <c r="H23" s="35" t="n">
        <v>609993</v>
      </c>
      <c r="I23" s="35" t="n">
        <v>650409</v>
      </c>
      <c r="J23" s="35" t="n">
        <v>692786</v>
      </c>
      <c r="K23" s="35" t="n">
        <v>730654</v>
      </c>
      <c r="L23" s="35" t="n">
        <v>653711</v>
      </c>
      <c r="M23" s="50" t="n">
        <f aca="false">IS!M11</f>
        <v>644384.48812</v>
      </c>
      <c r="N23" s="50" t="n">
        <f aca="false">IS!N11</f>
        <v>634529.869396235</v>
      </c>
      <c r="O23" s="50" t="n">
        <f aca="false">IS!O11</f>
        <v>641615.128088529</v>
      </c>
      <c r="P23" s="50" t="n">
        <f aca="false">IS!P11</f>
        <v>663912.970097808</v>
      </c>
      <c r="Q23" s="50" t="n">
        <f aca="false">IS!Q11</f>
        <v>686946.846596666</v>
      </c>
    </row>
    <row r="24" customFormat="false" ht="15" hidden="false" customHeight="true" outlineLevel="0" collapsed="false">
      <c r="A24" s="8" t="s">
        <v>405</v>
      </c>
      <c r="B24" s="35" t="n">
        <v>-22707</v>
      </c>
      <c r="C24" s="35" t="n">
        <v>-32129</v>
      </c>
      <c r="D24" s="35" t="n">
        <v>-32569</v>
      </c>
      <c r="E24" s="35" t="n">
        <v>-39515</v>
      </c>
      <c r="F24" s="35" t="n">
        <v>-46244</v>
      </c>
      <c r="G24" s="35" t="n">
        <v>-43268</v>
      </c>
      <c r="H24" s="35" t="n">
        <v>-51366</v>
      </c>
      <c r="I24" s="35" t="n">
        <v>-57965</v>
      </c>
      <c r="J24" s="35" t="n">
        <v>-62373</v>
      </c>
      <c r="K24" s="35" t="n">
        <v>-58624</v>
      </c>
      <c r="L24" s="35" t="n">
        <v>-54989</v>
      </c>
      <c r="M24" s="50" t="n">
        <f aca="false">IS!M15</f>
        <v>-55460.2056316</v>
      </c>
      <c r="N24" s="50" t="n">
        <f aca="false">IS!N15</f>
        <v>-56016.1908035859</v>
      </c>
      <c r="O24" s="50" t="n">
        <f aca="false">IS!O15</f>
        <v>-55975.2798060018</v>
      </c>
      <c r="P24" s="50" t="n">
        <f aca="false">IS!P15</f>
        <v>-57764.2497486017</v>
      </c>
      <c r="Q24" s="50" t="n">
        <f aca="false">IS!Q15</f>
        <v>-58506.4989637046</v>
      </c>
    </row>
    <row r="25" customFormat="false" ht="15" hidden="false" customHeight="true" outlineLevel="0" collapsed="false">
      <c r="A25" s="8" t="s">
        <v>406</v>
      </c>
      <c r="B25" s="35" t="n">
        <v>-100467</v>
      </c>
      <c r="C25" s="35" t="n">
        <v>-109097</v>
      </c>
      <c r="D25" s="35" t="n">
        <v>-111138</v>
      </c>
      <c r="E25" s="35" t="n">
        <v>-114271</v>
      </c>
      <c r="F25" s="35" t="n">
        <v>-119609</v>
      </c>
      <c r="G25" s="35" t="n">
        <v>-130398</v>
      </c>
      <c r="H25" s="35" t="n">
        <v>-133665</v>
      </c>
      <c r="I25" s="35" t="n">
        <v>-156266</v>
      </c>
      <c r="J25" s="35" t="n">
        <v>-184586</v>
      </c>
      <c r="K25" s="35" t="n">
        <v>-197773</v>
      </c>
      <c r="L25" s="35" t="n">
        <v>-171831</v>
      </c>
      <c r="M25" s="50" t="n">
        <f aca="false">-Assumptions!B53-Assumptions!B57</f>
        <v>-183963.4508</v>
      </c>
      <c r="N25" s="50" t="n">
        <f aca="false">-Assumptions!C53-Assumptions!C57</f>
        <v>-179199.273928569</v>
      </c>
      <c r="O25" s="50" t="n">
        <f aca="false">-Assumptions!D53-Assumptions!D57</f>
        <v>-181076.282442997</v>
      </c>
      <c r="P25" s="50" t="n">
        <f aca="false">-Assumptions!E53-Assumptions!E57</f>
        <v>-191677.087092775</v>
      </c>
      <c r="Q25" s="50" t="n">
        <f aca="false">-Assumptions!F53-Assumptions!F57</f>
        <v>-201980.448034624</v>
      </c>
    </row>
    <row r="26" customFormat="false" ht="15" hidden="false" customHeight="true" outlineLevel="0" collapsed="false">
      <c r="A26" s="47" t="s">
        <v>407</v>
      </c>
      <c r="B26" s="48" t="n">
        <f aca="false">B23+B24+B25</f>
        <v>201440</v>
      </c>
      <c r="C26" s="48" t="n">
        <f aca="false">C23+C24+C25</f>
        <v>225721</v>
      </c>
      <c r="D26" s="48" t="n">
        <f aca="false">D23+D24+D25</f>
        <v>249551</v>
      </c>
      <c r="E26" s="48" t="n">
        <f aca="false">E23+E24+E25</f>
        <v>285270</v>
      </c>
      <c r="F26" s="48" t="n">
        <f aca="false">F23+F24+F25</f>
        <v>342297</v>
      </c>
      <c r="G26" s="48" t="n">
        <f aca="false">G23+G24+G25</f>
        <v>404505</v>
      </c>
      <c r="H26" s="48" t="n">
        <f aca="false">H23+H24+H25</f>
        <v>424962</v>
      </c>
      <c r="I26" s="48" t="n">
        <f aca="false">I23+I24+I25</f>
        <v>436178</v>
      </c>
      <c r="J26" s="48" t="n">
        <f aca="false">J23+J24+J25</f>
        <v>445827</v>
      </c>
      <c r="K26" s="48" t="n">
        <f aca="false">K23+K24+K25</f>
        <v>474257</v>
      </c>
      <c r="L26" s="48" t="n">
        <f aca="false">L23+L24+L25</f>
        <v>426891</v>
      </c>
      <c r="M26" s="17" t="n">
        <f aca="false">M23+M24+M25</f>
        <v>404960.8316884</v>
      </c>
      <c r="N26" s="17" t="n">
        <f aca="false">N23+N24+N25</f>
        <v>399314.40466408</v>
      </c>
      <c r="O26" s="17" t="n">
        <f aca="false">O23+O24+O25</f>
        <v>404563.565839531</v>
      </c>
      <c r="P26" s="17" t="n">
        <f aca="false">P23+P24+P25</f>
        <v>414471.633256431</v>
      </c>
      <c r="Q26" s="17" t="n">
        <f aca="false">Q23+Q24+Q25</f>
        <v>426459.899598338</v>
      </c>
    </row>
    <row r="27" customFormat="false" ht="15" hidden="false" customHeight="true" outlineLevel="0" collapsed="false">
      <c r="A27" s="8" t="s">
        <v>408</v>
      </c>
      <c r="C27" s="35" t="n">
        <v>-18249</v>
      </c>
      <c r="D27" s="35" t="n">
        <v>-38724</v>
      </c>
      <c r="E27" s="35" t="n">
        <v>-51252</v>
      </c>
      <c r="F27" s="35" t="n">
        <v>-65532</v>
      </c>
      <c r="G27" s="35" t="n">
        <v>-69917</v>
      </c>
      <c r="H27" s="35" t="n">
        <v>-78006</v>
      </c>
      <c r="I27" s="35" t="n">
        <v>-74778</v>
      </c>
      <c r="J27" s="35" t="n">
        <v>-71572</v>
      </c>
      <c r="K27" s="35" t="n">
        <v>-68881</v>
      </c>
      <c r="L27" s="35" t="n">
        <v>-62722</v>
      </c>
      <c r="M27" s="50" t="n">
        <f aca="false">-Assumptions!B69</f>
        <v>-63200</v>
      </c>
      <c r="N27" s="50" t="n">
        <f aca="false">-Assumptions!C69</f>
        <v>-62525</v>
      </c>
      <c r="O27" s="50" t="n">
        <f aca="false">-Assumptions!D69</f>
        <v>-62525</v>
      </c>
      <c r="P27" s="50" t="n">
        <f aca="false">-Assumptions!E69</f>
        <v>-62525</v>
      </c>
      <c r="Q27" s="50" t="n">
        <f aca="false">-Assumptions!F69</f>
        <v>-62525</v>
      </c>
    </row>
    <row r="28" customFormat="false" ht="15" hidden="false" customHeight="true" outlineLevel="0" collapsed="false">
      <c r="A28" s="47" t="s">
        <v>409</v>
      </c>
      <c r="B28" s="61"/>
      <c r="C28" s="48" t="n">
        <f aca="false">C26+C27</f>
        <v>207472</v>
      </c>
      <c r="D28" s="48" t="n">
        <f aca="false">D26+D27</f>
        <v>210827</v>
      </c>
      <c r="E28" s="48" t="n">
        <f aca="false">E26+E27</f>
        <v>234018</v>
      </c>
      <c r="F28" s="48" t="n">
        <f aca="false">F26+F27</f>
        <v>276765</v>
      </c>
      <c r="G28" s="48" t="n">
        <f aca="false">G26+G27</f>
        <v>334588</v>
      </c>
      <c r="H28" s="48" t="n">
        <f aca="false">H26+H27</f>
        <v>346956</v>
      </c>
      <c r="I28" s="48" t="n">
        <f aca="false">I26+I27</f>
        <v>361400</v>
      </c>
      <c r="J28" s="48" t="n">
        <f aca="false">J26+J27</f>
        <v>374255</v>
      </c>
      <c r="K28" s="48" t="n">
        <f aca="false">K26+K27</f>
        <v>405376</v>
      </c>
      <c r="L28" s="48" t="n">
        <f aca="false">L26+L27</f>
        <v>364169</v>
      </c>
      <c r="M28" s="17" t="n">
        <f aca="false">M26+M27</f>
        <v>341760.8316884</v>
      </c>
      <c r="N28" s="17" t="n">
        <f aca="false">N26+N27</f>
        <v>336789.40466408</v>
      </c>
      <c r="O28" s="17" t="n">
        <f aca="false">O26+O27</f>
        <v>342038.565839531</v>
      </c>
      <c r="P28" s="17" t="n">
        <f aca="false">P26+P27</f>
        <v>351946.633256431</v>
      </c>
      <c r="Q28" s="17" t="n">
        <f aca="false">Q26+Q27</f>
        <v>363934.899598338</v>
      </c>
    </row>
    <row r="29" customFormat="false" ht="15" hidden="false" customHeight="true" outlineLevel="0" collapsed="false">
      <c r="A29" s="8" t="s">
        <v>187</v>
      </c>
      <c r="C29" s="40" t="n">
        <f aca="false">C28/132482</f>
        <v>1.56603916003684</v>
      </c>
      <c r="D29" s="40" t="n">
        <f aca="false">D28/137828</f>
        <v>1.52963838987724</v>
      </c>
      <c r="E29" s="40" t="n">
        <f aca="false">E28/144175</f>
        <v>1.62315241893532</v>
      </c>
      <c r="F29" s="40" t="n">
        <f aca="false">F28/159115</f>
        <v>1.7394023190774</v>
      </c>
      <c r="G29" s="40" t="n">
        <f aca="false">G28/171694</f>
        <v>1.94874602490477</v>
      </c>
      <c r="H29" s="40" t="n">
        <f aca="false">H28/174041</f>
        <v>1.99353026011112</v>
      </c>
      <c r="I29" s="40" t="n">
        <f aca="false">I28/174816</f>
        <v>2.06731649276954</v>
      </c>
      <c r="J29" s="40" t="n">
        <f aca="false">J28/170117</f>
        <v>2.19998589206252</v>
      </c>
      <c r="K29" s="40" t="n">
        <f aca="false">K28/169160</f>
        <v>2.39640576968551</v>
      </c>
      <c r="L29" s="40" t="n">
        <f aca="false">L28/159935</f>
        <v>2.27698127364242</v>
      </c>
      <c r="M29" s="59" t="n">
        <f aca="false">M28/Assumptions!B80</f>
        <v>2.17942357459319</v>
      </c>
      <c r="N29" s="59" t="n">
        <f aca="false">N28/Assumptions!C80</f>
        <v>2.15986211448382</v>
      </c>
      <c r="O29" s="59" t="n">
        <f aca="false">O28/Assumptions!D80</f>
        <v>2.19352547858811</v>
      </c>
      <c r="P29" s="59" t="n">
        <f aca="false">P28/Assumptions!E80</f>
        <v>2.25706684641368</v>
      </c>
      <c r="Q29" s="59" t="n">
        <f aca="false">Q28/Assumptions!F80</f>
        <v>2.33394872550977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L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12" min="2" style="1" width="14"/>
  </cols>
  <sheetData>
    <row r="1" customFormat="false" ht="1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410</v>
      </c>
    </row>
    <row r="3" customFormat="false" ht="15" hidden="false" customHeight="true" outlineLevel="0" collapsed="false">
      <c r="A3" s="4" t="s">
        <v>411</v>
      </c>
    </row>
    <row r="5" customFormat="false" ht="15" hidden="false" customHeight="true" outlineLevel="0" collapsed="false">
      <c r="B5" s="5" t="s">
        <v>233</v>
      </c>
      <c r="C5" s="5" t="s">
        <v>234</v>
      </c>
      <c r="D5" s="5" t="s">
        <v>235</v>
      </c>
      <c r="E5" s="5" t="s">
        <v>236</v>
      </c>
      <c r="F5" s="5" t="s">
        <v>237</v>
      </c>
      <c r="G5" s="5" t="s">
        <v>238</v>
      </c>
      <c r="H5" s="5" t="s">
        <v>239</v>
      </c>
      <c r="I5" s="5" t="s">
        <v>240</v>
      </c>
      <c r="J5" s="5" t="s">
        <v>241</v>
      </c>
      <c r="K5" s="5" t="s">
        <v>242</v>
      </c>
      <c r="L5" s="5" t="s">
        <v>243</v>
      </c>
    </row>
    <row r="7" customFormat="false" ht="15" hidden="false" customHeight="true" outlineLevel="0" collapsed="false">
      <c r="A7" s="58" t="s">
        <v>412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customFormat="false" ht="15" hidden="false" customHeight="true" outlineLevel="0" collapsed="false">
      <c r="A8" s="8" t="s">
        <v>413</v>
      </c>
      <c r="C8" s="35" t="n">
        <v>61616</v>
      </c>
      <c r="D8" s="35" t="n">
        <v>35665</v>
      </c>
      <c r="L8" s="35" t="n">
        <v>58974</v>
      </c>
    </row>
    <row r="9" customFormat="false" ht="15" hidden="false" customHeight="true" outlineLevel="0" collapsed="false">
      <c r="A9" s="8" t="s">
        <v>414</v>
      </c>
      <c r="C9" s="35" t="n">
        <v>55051</v>
      </c>
      <c r="D9" s="35" t="n">
        <v>51570</v>
      </c>
      <c r="E9" s="35" t="n">
        <v>53863</v>
      </c>
      <c r="K9" s="35" t="n">
        <v>77719</v>
      </c>
      <c r="L9" s="35" t="n">
        <v>80033</v>
      </c>
    </row>
    <row r="10" customFormat="false" ht="15" hidden="false" customHeight="true" outlineLevel="0" collapsed="false">
      <c r="A10" s="8" t="s">
        <v>415</v>
      </c>
      <c r="C10" s="35" t="n">
        <v>35671</v>
      </c>
      <c r="D10" s="35" t="n">
        <v>26342</v>
      </c>
      <c r="K10" s="35" t="n">
        <v>40288</v>
      </c>
      <c r="L10" s="35" t="n">
        <v>29076</v>
      </c>
    </row>
    <row r="11" customFormat="false" ht="15" hidden="false" customHeight="true" outlineLevel="0" collapsed="false">
      <c r="A11" s="8" t="s">
        <v>416</v>
      </c>
      <c r="C11" s="35" t="n">
        <v>3518</v>
      </c>
      <c r="D11" s="35" t="n">
        <v>3045</v>
      </c>
      <c r="K11" s="35" t="n">
        <v>16855</v>
      </c>
      <c r="L11" s="35" t="n">
        <v>32896</v>
      </c>
    </row>
    <row r="12" customFormat="false" ht="15" hidden="false" customHeight="true" outlineLevel="0" collapsed="false">
      <c r="A12" s="8" t="s">
        <v>417</v>
      </c>
      <c r="C12" s="35" t="n">
        <v>15578</v>
      </c>
      <c r="D12" s="35" t="n">
        <v>4434</v>
      </c>
      <c r="E12" s="35" t="n">
        <v>13243</v>
      </c>
      <c r="F12" s="35" t="n">
        <v>14752</v>
      </c>
      <c r="G12" s="35" t="n">
        <v>13855</v>
      </c>
      <c r="H12" s="35" t="n">
        <v>16193</v>
      </c>
      <c r="I12" s="35" t="n">
        <v>16027</v>
      </c>
      <c r="J12" s="35" t="n">
        <v>12781</v>
      </c>
      <c r="K12" s="35" t="n">
        <v>11800</v>
      </c>
      <c r="L12" s="35" t="n">
        <v>10715</v>
      </c>
    </row>
    <row r="13" customFormat="false" ht="15" hidden="false" customHeight="true" outlineLevel="0" collapsed="false">
      <c r="A13" s="8" t="s">
        <v>418</v>
      </c>
      <c r="C13" s="35" t="n">
        <v>18804</v>
      </c>
      <c r="D13" s="35" t="n">
        <v>14532</v>
      </c>
    </row>
    <row r="14" customFormat="false" ht="15" hidden="false" customHeight="true" outlineLevel="0" collapsed="false">
      <c r="A14" s="8" t="s">
        <v>419</v>
      </c>
      <c r="C14" s="35" t="n">
        <v>5504</v>
      </c>
      <c r="D14" s="35" t="n">
        <v>4946</v>
      </c>
    </row>
    <row r="16" customFormat="false" ht="15" hidden="false" customHeight="true" outlineLevel="0" collapsed="false">
      <c r="A16" s="58" t="s">
        <v>420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customFormat="false" ht="15" hidden="false" customHeight="true" outlineLevel="0" collapsed="false">
      <c r="A17" s="8" t="s">
        <v>421</v>
      </c>
      <c r="B17" s="35" t="n">
        <v>163208</v>
      </c>
      <c r="C17" s="35" t="n">
        <v>195742</v>
      </c>
      <c r="D17" s="35" t="n">
        <v>156808</v>
      </c>
      <c r="E17" s="35" t="n">
        <v>188529</v>
      </c>
      <c r="F17" s="35" t="n">
        <v>221225</v>
      </c>
      <c r="G17" s="35" t="n">
        <v>231128</v>
      </c>
      <c r="H17" s="35" t="n">
        <v>297662</v>
      </c>
      <c r="I17" s="35" t="n">
        <v>307942</v>
      </c>
      <c r="J17" s="35" t="n">
        <v>276477</v>
      </c>
      <c r="K17" s="35" t="n">
        <v>229722</v>
      </c>
      <c r="L17" s="35" t="n">
        <v>226798</v>
      </c>
    </row>
    <row r="18" customFormat="false" ht="15" hidden="false" customHeight="true" outlineLevel="0" collapsed="false">
      <c r="A18" s="8" t="s">
        <v>422</v>
      </c>
      <c r="C18" s="35" t="n">
        <v>18249</v>
      </c>
      <c r="D18" s="35" t="n">
        <v>38724</v>
      </c>
      <c r="E18" s="35" t="n">
        <v>51252</v>
      </c>
      <c r="F18" s="35" t="n">
        <v>65532</v>
      </c>
      <c r="G18" s="35" t="n">
        <v>69917</v>
      </c>
      <c r="H18" s="35" t="n">
        <v>78006</v>
      </c>
      <c r="I18" s="35" t="n">
        <v>74778</v>
      </c>
      <c r="J18" s="35" t="n">
        <v>71572</v>
      </c>
      <c r="K18" s="35" t="n">
        <v>68881</v>
      </c>
      <c r="L18" s="35" t="n">
        <v>62722</v>
      </c>
    </row>
    <row r="19" customFormat="false" ht="15" hidden="false" customHeight="true" outlineLevel="0" collapsed="false">
      <c r="A19" s="8" t="s">
        <v>423</v>
      </c>
      <c r="B19" s="35" t="n">
        <v>174027</v>
      </c>
      <c r="C19" s="35" t="n">
        <v>197493</v>
      </c>
      <c r="D19" s="35" t="n">
        <v>163728</v>
      </c>
      <c r="E19" s="35" t="n">
        <v>203784</v>
      </c>
      <c r="F19" s="35" t="n">
        <v>242357</v>
      </c>
      <c r="G19" s="35" t="n">
        <v>244857</v>
      </c>
      <c r="H19" s="35" t="n">
        <v>299419</v>
      </c>
      <c r="I19" s="35" t="n">
        <v>336467</v>
      </c>
      <c r="J19" s="35" t="n">
        <v>307831</v>
      </c>
      <c r="K19" s="35" t="n">
        <v>249808</v>
      </c>
      <c r="L19" s="35" t="n">
        <v>241587</v>
      </c>
    </row>
    <row r="21" customFormat="false" ht="15" hidden="false" customHeight="true" outlineLevel="0" collapsed="false">
      <c r="A21" s="58" t="s">
        <v>424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customFormat="false" ht="15" hidden="false" customHeight="true" outlineLevel="0" collapsed="false">
      <c r="A22" s="8" t="s">
        <v>425</v>
      </c>
      <c r="B22" s="35" t="n">
        <v>174027</v>
      </c>
      <c r="C22" s="35" t="n">
        <v>197493</v>
      </c>
      <c r="D22" s="35" t="n">
        <v>163728</v>
      </c>
      <c r="E22" s="35" t="n">
        <v>203784</v>
      </c>
      <c r="F22" s="35" t="n">
        <v>242357</v>
      </c>
      <c r="G22" s="35" t="n">
        <v>244857</v>
      </c>
      <c r="H22" s="35" t="n">
        <v>299419</v>
      </c>
      <c r="I22" s="35" t="n">
        <v>336467</v>
      </c>
      <c r="J22" s="35" t="n">
        <v>307831</v>
      </c>
      <c r="K22" s="35" t="n">
        <v>249808</v>
      </c>
      <c r="L22" s="35" t="n">
        <v>241587</v>
      </c>
    </row>
    <row r="23" customFormat="false" ht="15" hidden="false" customHeight="true" outlineLevel="0" collapsed="false">
      <c r="A23" s="8" t="s">
        <v>426</v>
      </c>
      <c r="B23" s="35" t="n">
        <v>163208</v>
      </c>
      <c r="C23" s="35" t="n">
        <v>195742</v>
      </c>
      <c r="D23" s="35" t="n">
        <v>156808</v>
      </c>
      <c r="E23" s="35" t="n">
        <v>188529</v>
      </c>
      <c r="F23" s="35" t="n">
        <v>221225</v>
      </c>
      <c r="G23" s="35" t="n">
        <v>231128</v>
      </c>
      <c r="H23" s="35" t="n">
        <v>297662</v>
      </c>
      <c r="I23" s="35" t="n">
        <v>307942</v>
      </c>
      <c r="J23" s="35" t="n">
        <v>276477</v>
      </c>
      <c r="K23" s="35" t="n">
        <v>229722</v>
      </c>
      <c r="L23" s="35" t="n">
        <v>226798</v>
      </c>
    </row>
    <row r="24" customFormat="false" ht="15" hidden="false" customHeight="true" outlineLevel="0" collapsed="false">
      <c r="A24" s="8" t="s">
        <v>427</v>
      </c>
      <c r="C24" s="35" t="n">
        <v>18249</v>
      </c>
      <c r="D24" s="35" t="n">
        <v>38724</v>
      </c>
      <c r="E24" s="35" t="n">
        <v>51252</v>
      </c>
      <c r="F24" s="35" t="n">
        <v>65532</v>
      </c>
      <c r="G24" s="35" t="n">
        <v>69917</v>
      </c>
      <c r="H24" s="35" t="n">
        <v>78006</v>
      </c>
      <c r="I24" s="35" t="n">
        <v>74778</v>
      </c>
      <c r="J24" s="35" t="n">
        <v>71572</v>
      </c>
      <c r="K24" s="35" t="n">
        <v>68881</v>
      </c>
      <c r="L24" s="35" t="n">
        <v>62722</v>
      </c>
    </row>
    <row r="25" customFormat="false" ht="15" hidden="false" customHeight="true" outlineLevel="0" collapsed="false">
      <c r="A25" s="8" t="s">
        <v>428</v>
      </c>
      <c r="C25" s="35" t="n">
        <v>177493</v>
      </c>
      <c r="D25" s="35" t="n">
        <v>118084</v>
      </c>
      <c r="E25" s="35" t="n">
        <v>137277</v>
      </c>
      <c r="F25" s="35" t="n">
        <v>155693</v>
      </c>
      <c r="G25" s="35" t="n">
        <v>161211</v>
      </c>
      <c r="H25" s="35" t="n">
        <v>219656</v>
      </c>
      <c r="I25" s="35" t="n">
        <v>233164</v>
      </c>
      <c r="J25" s="35" t="n">
        <v>204905</v>
      </c>
      <c r="K25" s="35" t="n">
        <v>160841</v>
      </c>
      <c r="L25" s="35" t="n">
        <v>164076</v>
      </c>
    </row>
    <row r="26" customFormat="false" ht="15" hidden="false" customHeight="true" outlineLevel="0" collapsed="false">
      <c r="A26" s="8" t="s">
        <v>429</v>
      </c>
      <c r="C26" s="43" t="n">
        <v>0.0932298638003086</v>
      </c>
      <c r="D26" s="43" t="n">
        <v>0.246951686138462</v>
      </c>
      <c r="E26" s="43" t="n">
        <v>0.271852075807966</v>
      </c>
      <c r="F26" s="43" t="n">
        <v>0.29622330206803</v>
      </c>
      <c r="G26" s="43" t="n">
        <v>0.302503374753383</v>
      </c>
      <c r="H26" s="43" t="n">
        <v>0.262062339163212</v>
      </c>
      <c r="I26" s="43" t="n">
        <v>0.242831442284586</v>
      </c>
      <c r="J26" s="43" t="n">
        <v>0.25887144319419</v>
      </c>
      <c r="K26" s="43" t="n">
        <v>0.299845030079836</v>
      </c>
      <c r="L26" s="43" t="n">
        <v>0.276554466970608</v>
      </c>
    </row>
    <row r="27" customFormat="false" ht="15" hidden="false" customHeight="true" outlineLevel="0" collapsed="false">
      <c r="A27" s="8" t="s">
        <v>430</v>
      </c>
      <c r="B27" s="43" t="n">
        <v>0.502775604256132</v>
      </c>
      <c r="C27" s="43" t="n">
        <v>0.533433983654315</v>
      </c>
      <c r="D27" s="43" t="n">
        <v>0.398740775775699</v>
      </c>
      <c r="E27" s="43" t="n">
        <v>0.429396250136657</v>
      </c>
      <c r="F27" s="43" t="n">
        <v>0.435353734133622</v>
      </c>
      <c r="G27" s="43" t="n">
        <v>0.399757165267715</v>
      </c>
      <c r="H27" s="43" t="n">
        <v>0.487976091528919</v>
      </c>
      <c r="I27" s="43" t="n">
        <v>0.473459008101056</v>
      </c>
      <c r="J27" s="43" t="n">
        <v>0.399079946765668</v>
      </c>
      <c r="K27" s="43" t="n">
        <v>0.314405997914197</v>
      </c>
      <c r="L27" s="43" t="n">
        <v>0.346939243794276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A1:L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12" min="2" style="1" width="14"/>
  </cols>
  <sheetData>
    <row r="1" customFormat="false" ht="1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431</v>
      </c>
    </row>
    <row r="3" customFormat="false" ht="15" hidden="false" customHeight="true" outlineLevel="0" collapsed="false">
      <c r="A3" s="4" t="s">
        <v>411</v>
      </c>
    </row>
    <row r="5" customFormat="false" ht="15" hidden="false" customHeight="true" outlineLevel="0" collapsed="false">
      <c r="B5" s="5" t="s">
        <v>233</v>
      </c>
      <c r="C5" s="5" t="s">
        <v>234</v>
      </c>
      <c r="D5" s="5" t="s">
        <v>235</v>
      </c>
      <c r="E5" s="5" t="s">
        <v>236</v>
      </c>
      <c r="F5" s="5" t="s">
        <v>237</v>
      </c>
      <c r="G5" s="5" t="s">
        <v>238</v>
      </c>
      <c r="H5" s="5" t="s">
        <v>239</v>
      </c>
      <c r="I5" s="5" t="s">
        <v>240</v>
      </c>
      <c r="J5" s="5" t="s">
        <v>241</v>
      </c>
      <c r="K5" s="5" t="s">
        <v>242</v>
      </c>
      <c r="L5" s="5" t="s">
        <v>243</v>
      </c>
    </row>
    <row r="7" customFormat="false" ht="15" hidden="false" customHeight="true" outlineLevel="0" collapsed="false">
      <c r="A7" s="8" t="s">
        <v>432</v>
      </c>
      <c r="B7" s="35" t="n">
        <v>5749640</v>
      </c>
      <c r="C7" s="35" t="n">
        <v>6863140</v>
      </c>
      <c r="D7" s="35" t="n">
        <v>7642017</v>
      </c>
      <c r="E7" s="35" t="n">
        <v>8886556</v>
      </c>
      <c r="F7" s="35" t="n">
        <v>10473544</v>
      </c>
      <c r="G7" s="35" t="n">
        <v>13096426</v>
      </c>
      <c r="H7" s="35" t="n">
        <v>15000591</v>
      </c>
      <c r="I7" s="35" t="n">
        <v>17101919</v>
      </c>
      <c r="J7" s="35" t="n">
        <v>17153709</v>
      </c>
      <c r="K7" s="35" t="n">
        <v>16532096</v>
      </c>
      <c r="L7" s="35" t="n">
        <v>14868362</v>
      </c>
    </row>
    <row r="8" customFormat="false" ht="15" hidden="false" customHeight="true" outlineLevel="0" collapsed="false">
      <c r="A8" s="8" t="s">
        <v>433</v>
      </c>
      <c r="B8" s="35" t="n">
        <v>949300</v>
      </c>
      <c r="C8" s="35" t="n">
        <v>414668</v>
      </c>
    </row>
    <row r="9" customFormat="false" ht="15" hidden="false" customHeight="true" outlineLevel="0" collapsed="false">
      <c r="A9" s="8" t="s">
        <v>434</v>
      </c>
      <c r="B9" s="35" t="n">
        <v>163208</v>
      </c>
      <c r="C9" s="35" t="n">
        <v>195742</v>
      </c>
      <c r="H9" s="35" t="n">
        <v>314385</v>
      </c>
      <c r="I9" s="35" t="n">
        <v>322352</v>
      </c>
      <c r="J9" s="35" t="n">
        <v>283141</v>
      </c>
      <c r="K9" s="35" t="n">
        <v>236267</v>
      </c>
      <c r="L9" s="35" t="n">
        <v>234240</v>
      </c>
    </row>
    <row r="10" customFormat="false" ht="15" hidden="false" customHeight="true" outlineLevel="0" collapsed="false">
      <c r="A10" s="8" t="s">
        <v>435</v>
      </c>
      <c r="B10" s="35" t="n">
        <v>-168622</v>
      </c>
      <c r="C10" s="35" t="n">
        <v>-58793</v>
      </c>
    </row>
    <row r="11" customFormat="false" ht="15" hidden="false" customHeight="true" outlineLevel="0" collapsed="false">
      <c r="A11" s="8" t="s">
        <v>436</v>
      </c>
      <c r="B11" s="35" t="n">
        <v>173242</v>
      </c>
      <c r="C11" s="35" t="n">
        <v>227967</v>
      </c>
    </row>
    <row r="12" customFormat="false" ht="15" hidden="false" customHeight="true" outlineLevel="0" collapsed="false">
      <c r="A12" s="8" t="s">
        <v>437</v>
      </c>
      <c r="B12" s="35" t="n">
        <v>0</v>
      </c>
      <c r="C12" s="35" t="n">
        <v>0</v>
      </c>
      <c r="D12" s="35" t="n">
        <v>0</v>
      </c>
      <c r="E12" s="35" t="n">
        <v>0</v>
      </c>
      <c r="F12" s="35" t="n">
        <v>0</v>
      </c>
      <c r="G12" s="35" t="n">
        <v>0</v>
      </c>
      <c r="H12" s="35" t="n">
        <v>0</v>
      </c>
      <c r="I12" s="35" t="n">
        <v>0</v>
      </c>
      <c r="J12" s="35" t="n">
        <v>0</v>
      </c>
      <c r="K12" s="35" t="n">
        <v>0</v>
      </c>
      <c r="L12" s="35" t="n">
        <v>0</v>
      </c>
    </row>
    <row r="13" customFormat="false" ht="15" hidden="false" customHeight="true" outlineLevel="0" collapsed="false">
      <c r="A13" s="3" t="s">
        <v>438</v>
      </c>
      <c r="B13" s="36" t="n">
        <v>6863140</v>
      </c>
      <c r="C13" s="36" t="n">
        <v>7642017</v>
      </c>
      <c r="D13" s="36" t="n">
        <v>8886556</v>
      </c>
      <c r="E13" s="36" t="n">
        <v>10473544</v>
      </c>
      <c r="F13" s="36" t="n">
        <v>13096426</v>
      </c>
      <c r="G13" s="36" t="n">
        <v>15000591</v>
      </c>
      <c r="H13" s="36" t="n">
        <v>17101919</v>
      </c>
      <c r="I13" s="36" t="n">
        <v>17153709</v>
      </c>
      <c r="J13" s="36" t="n">
        <v>16532096</v>
      </c>
      <c r="K13" s="36" t="n">
        <v>14868362</v>
      </c>
      <c r="L13" s="36" t="n">
        <v>14732478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2026-03-05T00:59:06Z</dcterms:created>
  <dc:creator>openpyxl</dc:creator>
  <dc:description/>
  <dc:language>en-US</dc:language>
  <cp:lastModifiedBy/>
  <dcterms:modified xsi:type="dcterms:W3CDTF">2026-03-05T03:20:41Z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