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Dashboard" sheetId="1" state="visible" r:id="rId3"/>
    <sheet name="Assumptions" sheetId="2" state="visible" r:id="rId4"/>
    <sheet name="BS" sheetId="3" state="visible" r:id="rId5"/>
    <sheet name="CFS" sheetId="4" state="visible" r:id="rId6"/>
    <sheet name="IS" sheetId="5" state="visible" r:id="rId7"/>
    <sheet name="Return Profile" sheetId="6" state="visible" r:id="rId8"/>
    <sheet name="Ops" sheetId="7" state="visible" r:id="rId9"/>
    <sheet name="Debt Maturity" sheetId="8" state="visible" r:id="rId10"/>
    <sheet name="Development" sheetId="9" state="visible" r:id="rId11"/>
    <sheet name="Amplification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8" authorId="0">
      <text>
        <r>
          <rPr>
            <sz val="10"/>
            <rFont val="Arial"/>
            <family val="2"/>
          </rPr>
          <t xml:space="preserve">Implied NOI = IFRS IP $1,808,604 × 4.33% cap = $78,353. Neutralizes NNOI premium. Actual reported NOI was $61,790. The $16,563 gap is the NNOI premium embedded in IFRS valuations.</t>
        </r>
      </text>
    </comment>
    <comment ref="B21" authorId="0">
      <text>
        <r>
          <rPr>
            <sz val="10"/>
            <rFont val="Arial"/>
            <family val="2"/>
          </rPr>
          <t xml:space="preserve">Public apt REIT benchmark: ~9.5% of NOI. Killam ~9%, CAPREIT ~10%.</t>
        </r>
      </text>
    </comment>
    <comment ref="B22" authorId="0">
      <text>
        <r>
          <rPr>
            <sz val="10"/>
            <rFont val="Arial"/>
            <family val="2"/>
          </rPr>
          <t xml:space="preserve">15% of NOI</t>
        </r>
      </text>
    </comment>
    <comment ref="B23" authorId="0">
      <text>
        <r>
          <rPr>
            <sz val="10"/>
            <rFont val="Arial"/>
            <family val="2"/>
          </rPr>
          <t xml:space="preserve">$0.96 Class A</t>
        </r>
      </text>
    </comment>
    <comment ref="B92" authorId="0">
      <text>
        <r>
          <rPr>
            <sz val="10"/>
            <rFont val="Arial"/>
            <family val="2"/>
          </rPr>
          <t xml:space="preserve">Hypothetical $500M raise at management price</t>
        </r>
      </text>
    </comment>
    <comment ref="B95" authorId="0">
      <text>
        <r>
          <rPr>
            <sz val="10"/>
            <rFont val="Arial"/>
            <family val="2"/>
          </rPr>
          <t xml:space="preserve">Market cap rate for Canadian apartments</t>
        </r>
      </text>
    </comment>
    <comment ref="B96" authorId="0">
      <text>
        <r>
          <rPr>
            <sz val="10"/>
            <rFont val="Arial"/>
            <family val="2"/>
          </rPr>
          <t xml:space="preserve">55% LTV on new acquisitions</t>
        </r>
      </text>
    </comment>
    <comment ref="B97" authorId="0">
      <text>
        <r>
          <rPr>
            <sz val="10"/>
            <rFont val="Arial"/>
            <family val="2"/>
          </rPr>
          <t xml:space="preserve">3.5%</t>
        </r>
      </text>
    </comment>
    <comment ref="B133" authorId="0">
      <text>
        <r>
          <rPr>
            <sz val="10"/>
            <rFont val="Arial"/>
            <family val="2"/>
          </rPr>
          <t xml:space="preserve">Annual cash deficit from Assumptions — the amount that must be funded by new capital or the accretion engine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FY2026E: ~3.8% — moderating from 8.6% FY2024. Immigration slowdown.</t>
        </r>
      </text>
    </comment>
    <comment ref="B9" authorId="0">
      <text>
        <r>
          <rPr>
            <sz val="10"/>
            <rFont val="Arial"/>
            <family val="2"/>
          </rPr>
          <t xml:space="preserve">FY2026E: No acquisitions assumed in base case</t>
        </r>
      </text>
    </comment>
    <comment ref="B11" authorId="0">
      <text>
        <r>
          <rPr>
            <sz val="10"/>
            <rFont val="Arial"/>
            <family val="2"/>
          </rPr>
          <t xml:space="preserve">Base case: slight margin compression from rising expenses</t>
        </r>
      </text>
    </comment>
    <comment ref="B15" authorId="0">
      <text>
        <r>
          <rPr>
            <sz val="10"/>
            <rFont val="Arial"/>
            <family val="2"/>
          </rPr>
          <t xml:space="preserve">Base case: ~10.5% of revenue</t>
        </r>
      </text>
    </comment>
    <comment ref="B16" authorId="0">
      <text>
        <r>
          <rPr>
            <sz val="10"/>
            <rFont val="Arial"/>
            <family val="2"/>
          </rPr>
          <t xml:space="preserve">0.9% of NAV per asset management agreement. Reduced from 1.0% Sep 2023.</t>
        </r>
      </text>
    </comment>
    <comment ref="B17" authorId="0">
      <text>
        <r>
          <rPr>
            <sz val="10"/>
            <rFont val="Arial"/>
            <family val="2"/>
          </rPr>
          <t xml:space="preserve">~4% of revenue</t>
        </r>
      </text>
    </comment>
    <comment ref="B18" authorId="0">
      <text>
        <r>
          <rPr>
            <sz val="10"/>
            <rFont val="Arial"/>
            <family val="2"/>
          </rPr>
          <t xml:space="preserve">15% of NOI — standard RF assumption</t>
        </r>
      </text>
    </comment>
    <comment ref="B21" authorId="0">
      <text>
        <r>
          <rPr>
            <sz val="10"/>
            <rFont val="Arial"/>
            <family val="2"/>
          </rPr>
          <t xml:space="preserve">Refinancing at slightly higher rates as pre-COVID mortgages mature</t>
        </r>
      </text>
    </comment>
    <comment ref="B25" authorId="0">
      <text>
        <r>
          <rPr>
            <sz val="10"/>
            <rFont val="Arial"/>
            <family val="2"/>
          </rPr>
          <t xml:space="preserve">Held at current level</t>
        </r>
      </text>
    </comment>
    <comment ref="B26" authorId="0">
      <text>
        <r>
          <rPr>
            <sz val="10"/>
            <rFont val="Arial"/>
            <family val="2"/>
          </rPr>
          <t xml:space="preserve">Base case: ~58% participation</t>
        </r>
      </text>
    </comment>
    <comment ref="B27" authorId="0">
      <text>
        <r>
          <rPr>
            <sz val="10"/>
            <rFont val="Arial"/>
            <family val="2"/>
          </rPr>
          <t xml:space="preserve">Assumed subscription/DRIP price. Currently $24.36.</t>
        </r>
      </text>
    </comment>
    <comment ref="B28" authorId="0">
      <text>
        <r>
          <rPr>
            <sz val="10"/>
            <rFont val="Arial"/>
            <family val="2"/>
          </rPr>
          <t xml:space="preserve">FY2026E: $350M. Decelerating from $492M FY2024. Q3 run rate ~$433M ann.</t>
        </r>
      </text>
    </comment>
    <comment ref="B29" authorId="0">
      <text>
        <r>
          <rPr>
            <sz val="10"/>
            <rFont val="Arial"/>
            <family val="2"/>
          </rPr>
          <t xml:space="preserve">FY2026E: $380M. Elevated from FY2024 $379M. Q3 run rate ~$404M ann.</t>
        </r>
      </text>
    </comment>
    <comment ref="B34" authorId="0">
      <text>
        <r>
          <rPr>
            <sz val="10"/>
            <rFont val="Arial"/>
            <family val="2"/>
          </rPr>
          <t xml:space="preserve">Slowing from 5.8% FY2024. Net of issuance and redemptions.</t>
        </r>
      </text>
    </comment>
    <comment ref="B38" authorId="0">
      <text>
        <r>
          <rPr>
            <sz val="10"/>
            <rFont val="Arial"/>
            <family val="2"/>
          </rPr>
          <t xml:space="preserve">5.0% analyst cap rate</t>
        </r>
      </text>
    </comment>
    <comment ref="B43" authorId="0">
      <text>
        <r>
          <rPr>
            <sz val="10"/>
            <rFont val="Arial"/>
            <family val="2"/>
          </rPr>
          <t xml:space="preserve">5.0% analyst cap rate</t>
        </r>
      </text>
    </comment>
    <comment ref="B47" authorId="0">
      <text>
        <r>
          <rPr>
            <sz val="10"/>
            <rFont val="Arial"/>
            <family val="2"/>
          </rPr>
          <t xml:space="preserve">FY2026E: ~$33M. Q3 2025 IFRS NAV $3.66B × 0.9%. Uses IFRS NAV not analyst.</t>
        </r>
      </text>
    </comment>
    <comment ref="B50" authorId="0">
      <text>
        <r>
          <rPr>
            <sz val="10"/>
            <rFont val="Arial"/>
            <family val="2"/>
          </rPr>
          <t xml:space="preserve">Base case: zero carry (returns below hurdle in near term)</t>
        </r>
      </text>
    </comment>
    <comment ref="B89" authorId="0">
      <text>
        <r>
          <rPr>
            <sz val="10"/>
            <rFont val="Arial"/>
            <family val="2"/>
          </rPr>
          <t xml:space="preserve">~$65K/yr from maturity schedule. Toggle.</t>
        </r>
      </text>
    </comment>
    <comment ref="C8" authorId="0">
      <text>
        <r>
          <rPr>
            <sz val="10"/>
            <rFont val="Arial"/>
            <family val="2"/>
          </rPr>
          <t xml:space="preserve">FY2027E: 3.5%</t>
        </r>
      </text>
    </comment>
    <comment ref="C89" authorId="0">
      <text>
        <r>
          <rPr>
            <sz val="10"/>
            <rFont val="Arial"/>
            <family val="2"/>
          </rPr>
          <t xml:space="preserve">~$65K/yr from maturity schedule. Toggle.</t>
        </r>
      </text>
    </comment>
    <comment ref="D8" authorId="0">
      <text>
        <r>
          <rPr>
            <sz val="10"/>
            <rFont val="Arial"/>
            <family val="2"/>
          </rPr>
          <t xml:space="preserve">FY2028E: 3.5%</t>
        </r>
      </text>
    </comment>
    <comment ref="D89" authorId="0">
      <text>
        <r>
          <rPr>
            <sz val="10"/>
            <rFont val="Arial"/>
            <family val="2"/>
          </rPr>
          <t xml:space="preserve">~$65K/yr from maturity schedule. Toggle.</t>
        </r>
      </text>
    </comment>
    <comment ref="E8" authorId="0">
      <text>
        <r>
          <rPr>
            <sz val="10"/>
            <rFont val="Arial"/>
            <family val="2"/>
          </rPr>
          <t xml:space="preserve">FY2029E: 3.0%</t>
        </r>
      </text>
    </comment>
    <comment ref="E89" authorId="0">
      <text>
        <r>
          <rPr>
            <sz val="10"/>
            <rFont val="Arial"/>
            <family val="2"/>
          </rPr>
          <t xml:space="preserve">~$65K/yr from maturity schedule. Toggle.</t>
        </r>
      </text>
    </comment>
    <comment ref="F8" authorId="0">
      <text>
        <r>
          <rPr>
            <sz val="10"/>
            <rFont val="Arial"/>
            <family val="2"/>
          </rPr>
          <t xml:space="preserve">FY2030E: 3.0%</t>
        </r>
      </text>
    </comment>
    <comment ref="F89" authorId="0">
      <text>
        <r>
          <rPr>
            <sz val="10"/>
            <rFont val="Arial"/>
            <family val="2"/>
          </rPr>
          <t xml:space="preserve">~$65K/yr from maturity schedule. Toggle.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FY2020 AR BS p.6 — FY2019 comparative</t>
        </r>
      </text>
    </comment>
    <comment ref="B8" authorId="0">
      <text>
        <r>
          <rPr>
            <sz val="10"/>
            <rFont val="Arial"/>
            <family val="2"/>
          </rPr>
          <t xml:space="preserve">FY2020 AR BS p.6 — FY2019. Disposed in FY2020.</t>
        </r>
      </text>
    </comment>
    <comment ref="B9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10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11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12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13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14" authorId="0">
      <text>
        <r>
          <rPr>
            <sz val="10"/>
            <rFont val="Arial"/>
            <family val="2"/>
          </rPr>
          <t xml:space="preserve">FY2020 AR CFS — FY2019 ending cash</t>
        </r>
      </text>
    </comment>
    <comment ref="B16" authorId="0">
      <text>
        <r>
          <rPr>
            <sz val="10"/>
            <rFont val="Arial"/>
            <family val="2"/>
          </rPr>
          <t xml:space="preserve">FY2020 AR BS — FY2019</t>
        </r>
      </text>
    </comment>
    <comment ref="B20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21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22" authorId="0">
      <text>
        <r>
          <rPr>
            <sz val="10"/>
            <rFont val="Arial"/>
            <family val="2"/>
          </rPr>
          <t xml:space="preserve">FY2020 AR BS p.6 — FY2019</t>
        </r>
      </text>
    </comment>
    <comment ref="B23" authorId="0">
      <text>
        <r>
          <rPr>
            <sz val="10"/>
            <rFont val="Arial"/>
            <family val="2"/>
          </rPr>
          <t xml:space="preserve">FY2020 AR — FY2019. U.S. subsidiaries only.</t>
        </r>
      </text>
    </comment>
    <comment ref="B24" authorId="0">
      <text>
        <r>
          <rPr>
            <sz val="10"/>
            <rFont val="Arial"/>
            <family val="2"/>
          </rPr>
          <t xml:space="preserve">FY2020 AR BS p.6 — FY2019. Wound down by FY2021.</t>
        </r>
      </text>
    </comment>
    <comment ref="B25" authorId="0">
      <text>
        <r>
          <rPr>
            <sz val="10"/>
            <rFont val="Arial"/>
            <family val="2"/>
          </rPr>
          <t xml:space="preserve">FY2019: Not separately disclosed. Immaterial or in AP&amp;OL.</t>
        </r>
      </text>
    </comment>
    <comment ref="B27" authorId="0">
      <text>
        <r>
          <rPr>
            <sz val="10"/>
            <rFont val="Arial"/>
            <family val="2"/>
          </rPr>
          <t xml:space="preserve">FY2020 AR BS — FY2019</t>
        </r>
      </text>
    </comment>
    <comment ref="B32" authorId="0">
      <text>
        <r>
          <rPr>
            <sz val="10"/>
            <rFont val="Arial"/>
            <family val="2"/>
          </rPr>
          <t xml:space="preserve">FY2020 AR BS — FY2019</t>
        </r>
      </text>
    </comment>
    <comment ref="B42" authorId="0">
      <text>
        <r>
          <rPr>
            <sz val="10"/>
            <rFont val="Arial"/>
            <family val="2"/>
          </rPr>
          <t xml:space="preserve">FY2020 AR MD&amp;A — FY2019 WA cap rate</t>
        </r>
      </text>
    </comment>
    <comment ref="B73" authorId="0">
      <text>
        <r>
          <rPr>
            <sz val="10"/>
            <rFont val="Arial"/>
            <family val="2"/>
          </rPr>
          <t xml:space="preserve">FY2019 BS</t>
        </r>
      </text>
    </comment>
    <comment ref="B74" authorId="0">
      <text>
        <r>
          <rPr>
            <sz val="10"/>
            <rFont val="Arial"/>
            <family val="2"/>
          </rPr>
          <t xml:space="preserve">FY2019 BS</t>
        </r>
      </text>
    </comment>
    <comment ref="C7" authorId="0">
      <text>
        <r>
          <rPr>
            <sz val="10"/>
            <rFont val="Arial"/>
            <family val="2"/>
          </rPr>
          <t xml:space="preserve">FY2020 AR BS p.6, Note 4</t>
        </r>
      </text>
    </comment>
    <comment ref="C8" authorId="0">
      <text>
        <r>
          <rPr>
            <sz val="10"/>
            <rFont val="Arial"/>
            <family val="2"/>
          </rPr>
          <t xml:space="preserve">FY2020: Sold</t>
        </r>
      </text>
    </comment>
    <comment ref="C9" authorId="0">
      <text>
        <r>
          <rPr>
            <sz val="10"/>
            <rFont val="Arial"/>
            <family val="2"/>
          </rPr>
          <t xml:space="preserve">FY2020 AR BS p.6, Note 5</t>
        </r>
      </text>
    </comment>
    <comment ref="C10" authorId="0">
      <text>
        <r>
          <rPr>
            <sz val="10"/>
            <rFont val="Arial"/>
            <family val="2"/>
          </rPr>
          <t xml:space="preserve">FY2020 AR BS p.6</t>
        </r>
      </text>
    </comment>
    <comment ref="C11" authorId="0">
      <text>
        <r>
          <rPr>
            <sz val="10"/>
            <rFont val="Arial"/>
            <family val="2"/>
          </rPr>
          <t xml:space="preserve">FY2020 AR BS p.6, Note 6</t>
        </r>
      </text>
    </comment>
    <comment ref="C12" authorId="0">
      <text>
        <r>
          <rPr>
            <sz val="10"/>
            <rFont val="Arial"/>
            <family val="2"/>
          </rPr>
          <t xml:space="preserve">FY2020 AR BS p.6, Note 8</t>
        </r>
      </text>
    </comment>
    <comment ref="C13" authorId="0">
      <text>
        <r>
          <rPr>
            <sz val="10"/>
            <rFont val="Arial"/>
            <family val="2"/>
          </rPr>
          <t xml:space="preserve">FY2020 AR BS p.6, Note 9</t>
        </r>
      </text>
    </comment>
    <comment ref="C14" authorId="0">
      <text>
        <r>
          <rPr>
            <sz val="10"/>
            <rFont val="Arial"/>
            <family val="2"/>
          </rPr>
          <t xml:space="preserve">FY2020 AR CFS p.9</t>
        </r>
      </text>
    </comment>
    <comment ref="C16" authorId="0">
      <text>
        <r>
          <rPr>
            <sz val="10"/>
            <rFont val="Arial"/>
            <family val="2"/>
          </rPr>
          <t xml:space="preserve">FY2020 AR BS</t>
        </r>
      </text>
    </comment>
    <comment ref="C20" authorId="0">
      <text>
        <r>
          <rPr>
            <sz val="10"/>
            <rFont val="Arial"/>
            <family val="2"/>
          </rPr>
          <t xml:space="preserve">FY2020 AR BS p.6, Note 10</t>
        </r>
      </text>
    </comment>
    <comment ref="C21" authorId="0">
      <text>
        <r>
          <rPr>
            <sz val="10"/>
            <rFont val="Arial"/>
            <family val="2"/>
          </rPr>
          <t xml:space="preserve">FY2020 AR BS p.6 — Note: FY2020 AR shows 29,647 vs 30,618; using FY2020 AR figure</t>
        </r>
      </text>
    </comment>
    <comment ref="C22" authorId="0">
      <text>
        <r>
          <rPr>
            <sz val="10"/>
            <rFont val="Arial"/>
            <family val="2"/>
          </rPr>
          <t xml:space="preserve">FY2020 AR BS p.6</t>
        </r>
      </text>
    </comment>
    <comment ref="C23" authorId="0">
      <text>
        <r>
          <rPr>
            <sz val="10"/>
            <rFont val="Arial"/>
            <family val="2"/>
          </rPr>
          <t xml:space="preserve">FY2020 AR, Note 20</t>
        </r>
      </text>
    </comment>
    <comment ref="C24" authorId="0">
      <text>
        <r>
          <rPr>
            <sz val="10"/>
            <rFont val="Arial"/>
            <family val="2"/>
          </rPr>
          <t xml:space="preserve">FY2020 AR BS p.6</t>
        </r>
      </text>
    </comment>
    <comment ref="C25" authorId="0">
      <text>
        <r>
          <rPr>
            <sz val="10"/>
            <rFont val="Arial"/>
            <family val="2"/>
          </rPr>
          <t xml:space="preserve">FY2020: Not a separate BS line in FY2020 AR. Embedded in AP&amp;OL.</t>
        </r>
      </text>
    </comment>
    <comment ref="C27" authorId="0">
      <text>
        <r>
          <rPr>
            <sz val="10"/>
            <rFont val="Arial"/>
            <family val="2"/>
          </rPr>
          <t xml:space="preserve">FY2020 AR BS</t>
        </r>
      </text>
    </comment>
    <comment ref="C32" authorId="0">
      <text>
        <r>
          <rPr>
            <sz val="10"/>
            <rFont val="Arial"/>
            <family val="2"/>
          </rPr>
          <t xml:space="preserve">FY2020 AR BS</t>
        </r>
      </text>
    </comment>
    <comment ref="C38" authorId="0">
      <text>
        <r>
          <rPr>
            <sz val="10"/>
            <rFont val="Arial"/>
            <family val="2"/>
          </rPr>
          <t xml:space="preserve">FY2020 AR p.3</t>
        </r>
      </text>
    </comment>
    <comment ref="C42" authorId="0">
      <text>
        <r>
          <rPr>
            <sz val="10"/>
            <rFont val="Arial"/>
            <family val="2"/>
          </rPr>
          <t xml:space="preserve">FY2020 AR MD&amp;A p.53</t>
        </r>
      </text>
    </comment>
    <comment ref="C73" authorId="0">
      <text>
        <r>
          <rPr>
            <sz val="10"/>
            <rFont val="Arial"/>
            <family val="2"/>
          </rPr>
          <t xml:space="preserve">FY2020 BS</t>
        </r>
      </text>
    </comment>
    <comment ref="C74" authorId="0">
      <text>
        <r>
          <rPr>
            <sz val="10"/>
            <rFont val="Arial"/>
            <family val="2"/>
          </rPr>
          <t xml:space="preserve">FY2020 BS</t>
        </r>
      </text>
    </comment>
    <comment ref="D7" authorId="0">
      <text>
        <r>
          <rPr>
            <sz val="10"/>
            <rFont val="Arial"/>
            <family val="2"/>
          </rPr>
          <t xml:space="preserve">FY2021 AR BS p.6, Note 4</t>
        </r>
      </text>
    </comment>
    <comment ref="D9" authorId="0">
      <text>
        <r>
          <rPr>
            <sz val="10"/>
            <rFont val="Arial"/>
            <family val="2"/>
          </rPr>
          <t xml:space="preserve">FY2021 AR BS p.6, Note 5</t>
        </r>
      </text>
    </comment>
    <comment ref="D10" authorId="0">
      <text>
        <r>
          <rPr>
            <sz val="10"/>
            <rFont val="Arial"/>
            <family val="2"/>
          </rPr>
          <t xml:space="preserve">FY2021 AR BS p.6, Note 7</t>
        </r>
      </text>
    </comment>
    <comment ref="D11" authorId="0">
      <text>
        <r>
          <rPr>
            <sz val="10"/>
            <rFont val="Arial"/>
            <family val="2"/>
          </rPr>
          <t xml:space="preserve">FY2021 AR BS p.6, Note 6</t>
        </r>
      </text>
    </comment>
    <comment ref="D12" authorId="0">
      <text>
        <r>
          <rPr>
            <sz val="10"/>
            <rFont val="Arial"/>
            <family val="2"/>
          </rPr>
          <t xml:space="preserve">FY2021 AR BS p.6, Note 8</t>
        </r>
      </text>
    </comment>
    <comment ref="D13" authorId="0">
      <text>
        <r>
          <rPr>
            <sz val="10"/>
            <rFont val="Arial"/>
            <family val="2"/>
          </rPr>
          <t xml:space="preserve">FY2021 AR BS p.6, Note 9</t>
        </r>
      </text>
    </comment>
    <comment ref="D14" authorId="0">
      <text>
        <r>
          <rPr>
            <sz val="10"/>
            <rFont val="Arial"/>
            <family val="2"/>
          </rPr>
          <t xml:space="preserve">FY2022 AR BS — FY2021 comparative</t>
        </r>
      </text>
    </comment>
    <comment ref="D16" authorId="0">
      <text>
        <r>
          <rPr>
            <sz val="10"/>
            <rFont val="Arial"/>
            <family val="2"/>
          </rPr>
          <t xml:space="preserve">FY2021 AR BS</t>
        </r>
      </text>
    </comment>
    <comment ref="D20" authorId="0">
      <text>
        <r>
          <rPr>
            <sz val="10"/>
            <rFont val="Arial"/>
            <family val="2"/>
          </rPr>
          <t xml:space="preserve">FY2021 AR BS p.6, Note 10</t>
        </r>
      </text>
    </comment>
    <comment ref="D21" authorId="0">
      <text>
        <r>
          <rPr>
            <sz val="10"/>
            <rFont val="Arial"/>
            <family val="2"/>
          </rPr>
          <t xml:space="preserve">FY2021 AR BS p.6, Note 11</t>
        </r>
      </text>
    </comment>
    <comment ref="D22" authorId="0">
      <text>
        <r>
          <rPr>
            <sz val="10"/>
            <rFont val="Arial"/>
            <family val="2"/>
          </rPr>
          <t xml:space="preserve">FY2021 AR BS p.6</t>
        </r>
      </text>
    </comment>
    <comment ref="D23" authorId="0">
      <text>
        <r>
          <rPr>
            <sz val="10"/>
            <rFont val="Arial"/>
            <family val="2"/>
          </rPr>
          <t xml:space="preserve">FY2021 AR, Note 20</t>
        </r>
      </text>
    </comment>
    <comment ref="D24" authorId="0">
      <text>
        <r>
          <rPr>
            <sz val="10"/>
            <rFont val="Arial"/>
            <family val="2"/>
          </rPr>
          <t xml:space="preserve">FY2021: Wound down to zero</t>
        </r>
      </text>
    </comment>
    <comment ref="D25" authorId="0">
      <text>
        <r>
          <rPr>
            <sz val="10"/>
            <rFont val="Arial"/>
            <family val="2"/>
          </rPr>
          <t xml:space="preserve">FY2021 AR BS p.6, Note 20</t>
        </r>
      </text>
    </comment>
    <comment ref="D27" authorId="0">
      <text>
        <r>
          <rPr>
            <sz val="10"/>
            <rFont val="Arial"/>
            <family val="2"/>
          </rPr>
          <t xml:space="preserve">FY2021 AR BS</t>
        </r>
      </text>
    </comment>
    <comment ref="D32" authorId="0">
      <text>
        <r>
          <rPr>
            <sz val="10"/>
            <rFont val="Arial"/>
            <family val="2"/>
          </rPr>
          <t xml:space="preserve">FY2021 AR BS</t>
        </r>
      </text>
    </comment>
    <comment ref="D38" authorId="0">
      <text>
        <r>
          <rPr>
            <sz val="10"/>
            <rFont val="Arial"/>
            <family val="2"/>
          </rPr>
          <t xml:space="preserve">FY2021 AR p.3</t>
        </r>
      </text>
    </comment>
    <comment ref="D42" authorId="0">
      <text>
        <r>
          <rPr>
            <sz val="10"/>
            <rFont val="Arial"/>
            <family val="2"/>
          </rPr>
          <t xml:space="preserve">FY2021 AR MD&amp;A p.41</t>
        </r>
      </text>
    </comment>
    <comment ref="D47" authorId="0">
      <text>
        <r>
          <rPr>
            <sz val="10"/>
            <rFont val="Arial"/>
            <family val="2"/>
          </rPr>
          <t xml:space="preserve">FY2021 AR — gross MI before ECL</t>
        </r>
      </text>
    </comment>
    <comment ref="D48" authorId="0">
      <text>
        <r>
          <rPr>
            <sz val="10"/>
            <rFont val="Arial"/>
            <family val="2"/>
          </rPr>
          <t xml:space="preserve">FY2021 AR</t>
        </r>
      </text>
    </comment>
    <comment ref="D73" authorId="0">
      <text>
        <r>
          <rPr>
            <sz val="10"/>
            <rFont val="Arial"/>
            <family val="2"/>
          </rPr>
          <t xml:space="preserve">FY2021 BS</t>
        </r>
      </text>
    </comment>
    <comment ref="D74" authorId="0">
      <text>
        <r>
          <rPr>
            <sz val="10"/>
            <rFont val="Arial"/>
            <family val="2"/>
          </rPr>
          <t xml:space="preserve">FY2021 BS</t>
        </r>
      </text>
    </comment>
    <comment ref="E7" authorId="0">
      <text>
        <r>
          <rPr>
            <sz val="10"/>
            <rFont val="Arial"/>
            <family val="2"/>
          </rPr>
          <t xml:space="preserve">FY2023 AR BS — FY2022 comparative</t>
        </r>
      </text>
    </comment>
    <comment ref="E9" authorId="0">
      <text>
        <r>
          <rPr>
            <sz val="10"/>
            <rFont val="Arial"/>
            <family val="2"/>
          </rPr>
          <t xml:space="preserve">FY2023 AR BS</t>
        </r>
      </text>
    </comment>
    <comment ref="E10" authorId="0">
      <text>
        <r>
          <rPr>
            <sz val="10"/>
            <rFont val="Arial"/>
            <family val="2"/>
          </rPr>
          <t xml:space="preserve">FY2023 AR BS</t>
        </r>
      </text>
    </comment>
    <comment ref="E11" authorId="0">
      <text>
        <r>
          <rPr>
            <sz val="10"/>
            <rFont val="Arial"/>
            <family val="2"/>
          </rPr>
          <t xml:space="preserve">FY2023 AR BS</t>
        </r>
      </text>
    </comment>
    <comment ref="E12" authorId="0">
      <text>
        <r>
          <rPr>
            <sz val="10"/>
            <rFont val="Arial"/>
            <family val="2"/>
          </rPr>
          <t xml:space="preserve">FY2023 AR BS</t>
        </r>
      </text>
    </comment>
    <comment ref="E13" authorId="0">
      <text>
        <r>
          <rPr>
            <sz val="10"/>
            <rFont val="Arial"/>
            <family val="2"/>
          </rPr>
          <t xml:space="preserve">FY2023 AR BS</t>
        </r>
      </text>
    </comment>
    <comment ref="E14" authorId="0">
      <text>
        <r>
          <rPr>
            <sz val="10"/>
            <rFont val="Arial"/>
            <family val="2"/>
          </rPr>
          <t xml:space="preserve">FY2022 AR BS</t>
        </r>
      </text>
    </comment>
    <comment ref="E16" authorId="0">
      <text>
        <r>
          <rPr>
            <sz val="10"/>
            <rFont val="Arial"/>
            <family val="2"/>
          </rPr>
          <t xml:space="preserve">FY2023 AR BS — FY2022</t>
        </r>
      </text>
    </comment>
    <comment ref="E20" authorId="0">
      <text>
        <r>
          <rPr>
            <sz val="10"/>
            <rFont val="Arial"/>
            <family val="2"/>
          </rPr>
          <t xml:space="preserve">FY2023 AR BS</t>
        </r>
      </text>
    </comment>
    <comment ref="E21" authorId="0">
      <text>
        <r>
          <rPr>
            <sz val="10"/>
            <rFont val="Arial"/>
            <family val="2"/>
          </rPr>
          <t xml:space="preserve">FY2023 AR BS</t>
        </r>
      </text>
    </comment>
    <comment ref="E22" authorId="0">
      <text>
        <r>
          <rPr>
            <sz val="10"/>
            <rFont val="Arial"/>
            <family val="2"/>
          </rPr>
          <t xml:space="preserve">FY2023 AR BS</t>
        </r>
      </text>
    </comment>
    <comment ref="E23" authorId="0">
      <text>
        <r>
          <rPr>
            <sz val="10"/>
            <rFont val="Arial"/>
            <family val="2"/>
          </rPr>
          <t xml:space="preserve">FY2022 AR p.174</t>
        </r>
      </text>
    </comment>
    <comment ref="E24" authorId="0">
      <text>
        <r>
          <rPr>
            <sz val="10"/>
            <rFont val="Arial"/>
            <family val="2"/>
          </rPr>
          <t xml:space="preserve">FY2022: Zero</t>
        </r>
      </text>
    </comment>
    <comment ref="E25" authorId="0">
      <text>
        <r>
          <rPr>
            <sz val="10"/>
            <rFont val="Arial"/>
            <family val="2"/>
          </rPr>
          <t xml:space="preserve">FY2022 AR BS</t>
        </r>
      </text>
    </comment>
    <comment ref="E27" authorId="0">
      <text>
        <r>
          <rPr>
            <sz val="10"/>
            <rFont val="Arial"/>
            <family val="2"/>
          </rPr>
          <t xml:space="preserve">FY2023 AR BS — FY2022</t>
        </r>
      </text>
    </comment>
    <comment ref="E32" authorId="0">
      <text>
        <r>
          <rPr>
            <sz val="10"/>
            <rFont val="Arial"/>
            <family val="2"/>
          </rPr>
          <t xml:space="preserve">FY2023 AR BS — FY2022</t>
        </r>
      </text>
    </comment>
    <comment ref="E38" authorId="0">
      <text>
        <r>
          <rPr>
            <sz val="10"/>
            <rFont val="Arial"/>
            <family val="2"/>
          </rPr>
          <t xml:space="preserve">FY2022 AR p.4</t>
        </r>
      </text>
    </comment>
    <comment ref="E42" authorId="0">
      <text>
        <r>
          <rPr>
            <sz val="10"/>
            <rFont val="Arial"/>
            <family val="2"/>
          </rPr>
          <t xml:space="preserve">FY2022 AR MD&amp;A p.53</t>
        </r>
      </text>
    </comment>
    <comment ref="E47" authorId="0">
      <text>
        <r>
          <rPr>
            <sz val="10"/>
            <rFont val="Arial"/>
            <family val="2"/>
          </rPr>
          <t xml:space="preserve">FY2023 AR Note 6 — FY2022 comp. Beginning of FY2023.</t>
        </r>
      </text>
    </comment>
    <comment ref="E48" authorId="0">
      <text>
        <r>
          <rPr>
            <sz val="10"/>
            <rFont val="Arial"/>
            <family val="2"/>
          </rPr>
          <t xml:space="preserve">FY2023 AR Note 6 — FY2022 comp</t>
        </r>
      </text>
    </comment>
    <comment ref="E73" authorId="0">
      <text>
        <r>
          <rPr>
            <sz val="10"/>
            <rFont val="Arial"/>
            <family val="2"/>
          </rPr>
          <t xml:space="preserve">FY2022 BS</t>
        </r>
      </text>
    </comment>
    <comment ref="E74" authorId="0">
      <text>
        <r>
          <rPr>
            <sz val="10"/>
            <rFont val="Arial"/>
            <family val="2"/>
          </rPr>
          <t xml:space="preserve">FY2022 BS</t>
        </r>
      </text>
    </comment>
    <comment ref="F7" authorId="0">
      <text>
        <r>
          <rPr>
            <sz val="10"/>
            <rFont val="Arial"/>
            <family val="2"/>
          </rPr>
          <t xml:space="preserve">FY2024 AR BS p.1 FS — FY2023 comparative</t>
        </r>
      </text>
    </comment>
    <comment ref="F9" authorId="0">
      <text>
        <r>
          <rPr>
            <sz val="10"/>
            <rFont val="Arial"/>
            <family val="2"/>
          </rPr>
          <t xml:space="preserve">FY2024 AR BS p.1 FS, Note 5</t>
        </r>
      </text>
    </comment>
    <comment ref="F10" authorId="0">
      <text>
        <r>
          <rPr>
            <sz val="10"/>
            <rFont val="Arial"/>
            <family val="2"/>
          </rPr>
          <t xml:space="preserve">FY2024 AR BS p.1 FS, Note 6</t>
        </r>
      </text>
    </comment>
    <comment ref="F11" authorId="0">
      <text>
        <r>
          <rPr>
            <sz val="10"/>
            <rFont val="Arial"/>
            <family val="2"/>
          </rPr>
          <t xml:space="preserve">FY2024 AR BS p.1 FS, Note 6</t>
        </r>
      </text>
    </comment>
    <comment ref="F12" authorId="0">
      <text>
        <r>
          <rPr>
            <sz val="10"/>
            <rFont val="Arial"/>
            <family val="2"/>
          </rPr>
          <t xml:space="preserve">FY2024 AR BS p.1 FS, Note 7</t>
        </r>
      </text>
    </comment>
    <comment ref="F13" authorId="0">
      <text>
        <r>
          <rPr>
            <sz val="10"/>
            <rFont val="Arial"/>
            <family val="2"/>
          </rPr>
          <t xml:space="preserve">FY2024 AR BS p.1 FS, Note 8</t>
        </r>
      </text>
    </comment>
    <comment ref="F14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F16" authorId="0">
      <text>
        <r>
          <rPr>
            <sz val="10"/>
            <rFont val="Arial"/>
            <family val="2"/>
          </rPr>
          <t xml:space="preserve">FY2024 AR BS p.1 FS — FY2023</t>
        </r>
      </text>
    </comment>
    <comment ref="F20" authorId="0">
      <text>
        <r>
          <rPr>
            <sz val="10"/>
            <rFont val="Arial"/>
            <family val="2"/>
          </rPr>
          <t xml:space="preserve">FY2024 AR BS p.1 FS, Note 9</t>
        </r>
      </text>
    </comment>
    <comment ref="F21" authorId="0">
      <text>
        <r>
          <rPr>
            <sz val="10"/>
            <rFont val="Arial"/>
            <family val="2"/>
          </rPr>
          <t xml:space="preserve">FY2024 AR BS p.1 FS, Note 10</t>
        </r>
      </text>
    </comment>
    <comment ref="F22" authorId="0">
      <text>
        <r>
          <rPr>
            <sz val="10"/>
            <rFont val="Arial"/>
            <family val="2"/>
          </rPr>
          <t xml:space="preserve">FY2024 AR BS p.1 FS, Note 8</t>
        </r>
      </text>
    </comment>
    <comment ref="F23" authorId="0">
      <text>
        <r>
          <rPr>
            <sz val="10"/>
            <rFont val="Arial"/>
            <family val="2"/>
          </rPr>
          <t xml:space="preserve">FY2024 AR BS p.1 FS, Note 20</t>
        </r>
      </text>
    </comment>
    <comment ref="F24" authorId="0">
      <text>
        <r>
          <rPr>
            <sz val="10"/>
            <rFont val="Arial"/>
            <family val="2"/>
          </rPr>
          <t xml:space="preserve">FY2023: Zero</t>
        </r>
      </text>
    </comment>
    <comment ref="F25" authorId="0">
      <text>
        <r>
          <rPr>
            <sz val="10"/>
            <rFont val="Arial"/>
            <family val="2"/>
          </rPr>
          <t xml:space="preserve">FY2023: Not separate. Embedded in AP&amp;OL or immaterial.</t>
        </r>
      </text>
    </comment>
    <comment ref="F27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F32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F38" authorId="0">
      <text>
        <r>
          <rPr>
            <sz val="10"/>
            <rFont val="Arial"/>
            <family val="2"/>
          </rPr>
          <t xml:space="preserve">FY2023 AR p.3</t>
        </r>
      </text>
    </comment>
    <comment ref="F42" authorId="0">
      <text>
        <r>
          <rPr>
            <sz val="10"/>
            <rFont val="Arial"/>
            <family val="2"/>
          </rPr>
          <t xml:space="preserve">FY2023 AR MD&amp;A p.36</t>
        </r>
      </text>
    </comment>
    <comment ref="F47" authorId="0">
      <text>
        <r>
          <rPr>
            <sz val="10"/>
            <rFont val="Arial"/>
            <family val="2"/>
          </rPr>
          <t xml:space="preserve">FY2024 AR Note 6 p.24 FS — FY2023</t>
        </r>
      </text>
    </comment>
    <comment ref="F48" authorId="0">
      <text>
        <r>
          <rPr>
            <sz val="10"/>
            <rFont val="Arial"/>
            <family val="2"/>
          </rPr>
          <t xml:space="preserve">FY2024 AR Note 6 p.25 FS</t>
        </r>
      </text>
    </comment>
    <comment ref="F52" authorId="0">
      <text>
        <r>
          <rPr>
            <sz val="10"/>
            <rFont val="Arial"/>
            <family val="2"/>
          </rPr>
          <t xml:space="preserve">FY2024 AR Note 6 p.25 — FY2023</t>
        </r>
      </text>
    </comment>
    <comment ref="F53" authorId="0">
      <text>
        <r>
          <rPr>
            <sz val="10"/>
            <rFont val="Arial"/>
            <family val="2"/>
          </rPr>
          <t xml:space="preserve">FY2023: nil</t>
        </r>
      </text>
    </comment>
    <comment ref="F54" authorId="0">
      <text>
        <r>
          <rPr>
            <sz val="10"/>
            <rFont val="Arial"/>
            <family val="2"/>
          </rPr>
          <t xml:space="preserve">FY2024 AR Note 6 p.25 — FY2023</t>
        </r>
      </text>
    </comment>
    <comment ref="F57" authorId="0">
      <text>
        <r>
          <rPr>
            <sz val="10"/>
            <rFont val="Arial"/>
            <family val="2"/>
          </rPr>
          <t xml:space="preserve">FY2024 AR Note 6 p.26 — FY2023</t>
        </r>
      </text>
    </comment>
    <comment ref="F58" authorId="0">
      <text>
        <r>
          <rPr>
            <sz val="10"/>
            <rFont val="Arial"/>
            <family val="2"/>
          </rPr>
          <t xml:space="preserve">FY2024 AR Note 6 p.26 — FY2023</t>
        </r>
      </text>
    </comment>
    <comment ref="F59" authorId="0">
      <text>
        <r>
          <rPr>
            <sz val="10"/>
            <rFont val="Arial"/>
            <family val="2"/>
          </rPr>
          <t xml:space="preserve">FY2023: 12.95% per FY2024 AR Note 6 p.24</t>
        </r>
      </text>
    </comment>
    <comment ref="F63" authorId="0">
      <text>
        <r>
          <rPr>
            <sz val="10"/>
            <rFont val="Arial"/>
            <family val="2"/>
          </rPr>
          <t xml:space="preserve">FY2024 AR Note 6 p.27 — FY2023 comp</t>
        </r>
      </text>
    </comment>
    <comment ref="F64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65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66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67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68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69" authorId="0">
      <text>
        <r>
          <rPr>
            <sz val="10"/>
            <rFont val="Arial"/>
            <family val="2"/>
          </rPr>
          <t xml:space="preserve">FY2024 AR Note 6 p.27 — FY2023</t>
        </r>
      </text>
    </comment>
    <comment ref="F73" authorId="0">
      <text>
        <r>
          <rPr>
            <sz val="10"/>
            <rFont val="Arial"/>
            <family val="2"/>
          </rPr>
          <t xml:space="preserve">FY2023 BS</t>
        </r>
      </text>
    </comment>
    <comment ref="F74" authorId="0">
      <text>
        <r>
          <rPr>
            <sz val="10"/>
            <rFont val="Arial"/>
            <family val="2"/>
          </rPr>
          <t xml:space="preserve">FY2023 BS</t>
        </r>
      </text>
    </comment>
    <comment ref="G7" authorId="0">
      <text>
        <r>
          <rPr>
            <sz val="10"/>
            <rFont val="Arial"/>
            <family val="2"/>
          </rPr>
          <t xml:space="preserve">FY2024 AR BS p.1 FS, Note 4</t>
        </r>
      </text>
    </comment>
    <comment ref="G9" authorId="0">
      <text>
        <r>
          <rPr>
            <sz val="10"/>
            <rFont val="Arial"/>
            <family val="2"/>
          </rPr>
          <t xml:space="preserve">FY2024 AR BS p.1 FS, Note 5</t>
        </r>
      </text>
    </comment>
    <comment ref="G10" authorId="0">
      <text>
        <r>
          <rPr>
            <sz val="10"/>
            <rFont val="Arial"/>
            <family val="2"/>
          </rPr>
          <t xml:space="preserve">FY2024 AR BS p.1 FS, Note 6</t>
        </r>
      </text>
    </comment>
    <comment ref="G11" authorId="0">
      <text>
        <r>
          <rPr>
            <sz val="10"/>
            <rFont val="Arial"/>
            <family val="2"/>
          </rPr>
          <t xml:space="preserve">FY2024 AR BS p.1 FS, Note 6</t>
        </r>
      </text>
    </comment>
    <comment ref="G12" authorId="0">
      <text>
        <r>
          <rPr>
            <sz val="10"/>
            <rFont val="Arial"/>
            <family val="2"/>
          </rPr>
          <t xml:space="preserve">FY2024 AR BS p.1 FS, Note 7</t>
        </r>
      </text>
    </comment>
    <comment ref="G13" authorId="0">
      <text>
        <r>
          <rPr>
            <sz val="10"/>
            <rFont val="Arial"/>
            <family val="2"/>
          </rPr>
          <t xml:space="preserve">FY2024 AR BS p.1 FS, Note 8</t>
        </r>
      </text>
    </comment>
    <comment ref="G14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G16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G20" authorId="0">
      <text>
        <r>
          <rPr>
            <sz val="10"/>
            <rFont val="Arial"/>
            <family val="2"/>
          </rPr>
          <t xml:space="preserve">FY2024 AR BS p.1 FS, Note 9</t>
        </r>
      </text>
    </comment>
    <comment ref="G21" authorId="0">
      <text>
        <r>
          <rPr>
            <sz val="10"/>
            <rFont val="Arial"/>
            <family val="2"/>
          </rPr>
          <t xml:space="preserve">FY2024 AR BS p.1 FS, Note 10</t>
        </r>
      </text>
    </comment>
    <comment ref="G22" authorId="0">
      <text>
        <r>
          <rPr>
            <sz val="10"/>
            <rFont val="Arial"/>
            <family val="2"/>
          </rPr>
          <t xml:space="preserve">FY2024 AR BS p.1 FS, Note 8</t>
        </r>
      </text>
    </comment>
    <comment ref="G23" authorId="0">
      <text>
        <r>
          <rPr>
            <sz val="10"/>
            <rFont val="Arial"/>
            <family val="2"/>
          </rPr>
          <t xml:space="preserve">FY2024 AR BS p.1 FS, Note 20</t>
        </r>
      </text>
    </comment>
    <comment ref="G24" authorId="0">
      <text>
        <r>
          <rPr>
            <sz val="10"/>
            <rFont val="Arial"/>
            <family val="2"/>
          </rPr>
          <t xml:space="preserve">FY2024: Zero</t>
        </r>
      </text>
    </comment>
    <comment ref="G25" authorId="0">
      <text>
        <r>
          <rPr>
            <sz val="10"/>
            <rFont val="Arial"/>
            <family val="2"/>
          </rPr>
          <t xml:space="preserve">FY2024: Not separate.</t>
        </r>
      </text>
    </comment>
    <comment ref="G27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G32" authorId="0">
      <text>
        <r>
          <rPr>
            <sz val="10"/>
            <rFont val="Arial"/>
            <family val="2"/>
          </rPr>
          <t xml:space="preserve">FY2024 AR BS p.1 FS</t>
        </r>
      </text>
    </comment>
    <comment ref="G38" authorId="0">
      <text>
        <r>
          <rPr>
            <sz val="10"/>
            <rFont val="Arial"/>
            <family val="2"/>
          </rPr>
          <t xml:space="preserve">FY2024 AR p.3</t>
        </r>
      </text>
    </comment>
    <comment ref="G42" authorId="0">
      <text>
        <r>
          <rPr>
            <sz val="10"/>
            <rFont val="Arial"/>
            <family val="2"/>
          </rPr>
          <t xml:space="preserve">FY2024 AR MD&amp;A p.33</t>
        </r>
      </text>
    </comment>
    <comment ref="G47" authorId="0">
      <text>
        <r>
          <rPr>
            <sz val="10"/>
            <rFont val="Arial"/>
            <family val="2"/>
          </rPr>
          <t xml:space="preserve">FY2024 AR Note 6 p.24 FS</t>
        </r>
      </text>
    </comment>
    <comment ref="G48" authorId="0">
      <text>
        <r>
          <rPr>
            <sz val="10"/>
            <rFont val="Arial"/>
            <family val="2"/>
          </rPr>
          <t xml:space="preserve">FY2024 AR Note 6 p.24 FS</t>
        </r>
      </text>
    </comment>
    <comment ref="G52" authorId="0">
      <text>
        <r>
          <rPr>
            <sz val="10"/>
            <rFont val="Arial"/>
            <family val="2"/>
          </rPr>
          <t xml:space="preserve">FY2024 AR Note 6 p.25</t>
        </r>
      </text>
    </comment>
    <comment ref="G53" authorId="0">
      <text>
        <r>
          <rPr>
            <sz val="10"/>
            <rFont val="Arial"/>
            <family val="2"/>
          </rPr>
          <t xml:space="preserve">FY2024: nil</t>
        </r>
      </text>
    </comment>
    <comment ref="G54" authorId="0">
      <text>
        <r>
          <rPr>
            <sz val="10"/>
            <rFont val="Arial"/>
            <family val="2"/>
          </rPr>
          <t xml:space="preserve">FY2024 AR Note 6 p.25</t>
        </r>
      </text>
    </comment>
    <comment ref="G57" authorId="0">
      <text>
        <r>
          <rPr>
            <sz val="10"/>
            <rFont val="Arial"/>
            <family val="2"/>
          </rPr>
          <t xml:space="preserve">FY2024 AR Note 6 p.26</t>
        </r>
      </text>
    </comment>
    <comment ref="G58" authorId="0">
      <text>
        <r>
          <rPr>
            <sz val="10"/>
            <rFont val="Arial"/>
            <family val="2"/>
          </rPr>
          <t xml:space="preserve">FY2024 AR Note 6 p.26</t>
        </r>
      </text>
    </comment>
    <comment ref="G59" authorId="0">
      <text>
        <r>
          <rPr>
            <sz val="10"/>
            <rFont val="Arial"/>
            <family val="2"/>
          </rPr>
          <t xml:space="preserve">FY2024: 12.71% per FY2024 AR Note 6 p.24</t>
        </r>
      </text>
    </comment>
    <comment ref="G63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64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65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66" authorId="0">
      <text>
        <r>
          <rPr>
            <sz val="10"/>
            <rFont val="Arial"/>
            <family val="2"/>
          </rPr>
          <t xml:space="preserve">FY2024 AR Note 6 p.27. Incl $8,406 loss from receivership.</t>
        </r>
      </text>
    </comment>
    <comment ref="G67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68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69" authorId="0">
      <text>
        <r>
          <rPr>
            <sz val="10"/>
            <rFont val="Arial"/>
            <family val="2"/>
          </rPr>
          <t xml:space="preserve">FY2024 AR Note 6 p.27</t>
        </r>
      </text>
    </comment>
    <comment ref="G73" authorId="0">
      <text>
        <r>
          <rPr>
            <sz val="10"/>
            <rFont val="Arial"/>
            <family val="2"/>
          </rPr>
          <t xml:space="preserve">FY2024 BS</t>
        </r>
      </text>
    </comment>
    <comment ref="G74" authorId="0">
      <text>
        <r>
          <rPr>
            <sz val="10"/>
            <rFont val="Arial"/>
            <family val="2"/>
          </rPr>
          <t xml:space="preserve">FY2024 BS</t>
        </r>
      </text>
    </comment>
    <comment ref="H7" authorId="0">
      <text>
        <r>
          <rPr>
            <sz val="10"/>
            <rFont val="Arial"/>
            <family val="2"/>
          </rPr>
          <t xml:space="preserve">Q3 2025 Interim FS BS p.1 — Investment properties</t>
        </r>
      </text>
    </comment>
    <comment ref="H8" authorId="0">
      <text>
        <r>
          <rPr>
            <sz val="10"/>
            <rFont val="Arial"/>
            <family val="2"/>
          </rPr>
          <t xml:space="preserve">Q3 2025: No IP held for sale</t>
        </r>
      </text>
    </comment>
    <comment ref="H9" authorId="0">
      <text>
        <r>
          <rPr>
            <sz val="10"/>
            <rFont val="Arial"/>
            <family val="2"/>
          </rPr>
          <t xml:space="preserve">Q3 2025 Interim FS BS p.1, Note 5 — EAI</t>
        </r>
      </text>
    </comment>
    <comment ref="H10" authorId="0">
      <text>
        <r>
          <rPr>
            <sz val="10"/>
            <rFont val="Arial"/>
            <family val="2"/>
          </rPr>
          <t xml:space="preserve">Q3 2025 Interim FS BS p.1, Note 6 — PLI</t>
        </r>
      </text>
    </comment>
    <comment ref="H11" authorId="0">
      <text>
        <r>
          <rPr>
            <sz val="10"/>
            <rFont val="Arial"/>
            <family val="2"/>
          </rPr>
          <t xml:space="preserve">Q3 2025 Interim FS BS p.1, Note 6 — Mortgage investments</t>
        </r>
      </text>
    </comment>
    <comment ref="H12" authorId="0">
      <text>
        <r>
          <rPr>
            <sz val="10"/>
            <rFont val="Arial"/>
            <family val="2"/>
          </rPr>
          <t xml:space="preserve">Q3 2025 Interim FS BS p.1, Note 7 — Receivables</t>
        </r>
      </text>
    </comment>
    <comment ref="H13" authorId="0">
      <text>
        <r>
          <rPr>
            <sz val="10"/>
            <rFont val="Arial"/>
            <family val="2"/>
          </rPr>
          <t xml:space="preserve">Q3 2025 Interim FS BS p.1, Note 8 — Restricted cash</t>
        </r>
      </text>
    </comment>
    <comment ref="H14" authorId="0">
      <text>
        <r>
          <rPr>
            <sz val="10"/>
            <rFont val="Arial"/>
            <family val="2"/>
          </rPr>
          <t xml:space="preserve">Q3 2025 Interim FS BS p.1 — Cash</t>
        </r>
      </text>
    </comment>
    <comment ref="H16" authorId="0">
      <text>
        <r>
          <rPr>
            <sz val="10"/>
            <rFont val="Arial"/>
            <family val="2"/>
          </rPr>
          <t xml:space="preserve">Q3 2025 Interim FS BS p.1 — Total Assets</t>
        </r>
      </text>
    </comment>
    <comment ref="H20" authorId="0">
      <text>
        <r>
          <rPr>
            <sz val="10"/>
            <rFont val="Arial"/>
            <family val="2"/>
          </rPr>
          <t xml:space="preserve">Q3 2025 Interim FS BS p.1, Note 9 — Mortgages &amp; CF</t>
        </r>
      </text>
    </comment>
    <comment ref="H21" authorId="0">
      <text>
        <r>
          <rPr>
            <sz val="10"/>
            <rFont val="Arial"/>
            <family val="2"/>
          </rPr>
          <t xml:space="preserve">Q3 2025 Interim FS BS p.1, Note 10 — AP&amp;OL</t>
        </r>
      </text>
    </comment>
    <comment ref="H22" authorId="0">
      <text>
        <r>
          <rPr>
            <sz val="10"/>
            <rFont val="Arial"/>
            <family val="2"/>
          </rPr>
          <t xml:space="preserve">Q3 2025 Interim FS BS p.1, Note 8 — Unit subs in trust</t>
        </r>
      </text>
    </comment>
    <comment ref="H23" authorId="0">
      <text>
        <r>
          <rPr>
            <sz val="10"/>
            <rFont val="Arial"/>
            <family val="2"/>
          </rPr>
          <t xml:space="preserve">Q3 2025 Interim FS BS p.1, Note 20 — DTL</t>
        </r>
      </text>
    </comment>
    <comment ref="H24" authorId="0">
      <text>
        <r>
          <rPr>
            <sz val="10"/>
            <rFont val="Arial"/>
            <family val="2"/>
          </rPr>
          <t xml:space="preserve">Q3 2025: No syndicated mortgage liabilities</t>
        </r>
      </text>
    </comment>
    <comment ref="H25" authorId="0">
      <text>
        <r>
          <rPr>
            <sz val="10"/>
            <rFont val="Arial"/>
            <family val="2"/>
          </rPr>
          <t xml:space="preserve">Q3 2025: Current tax not a separate line</t>
        </r>
      </text>
    </comment>
    <comment ref="H27" authorId="0">
      <text>
        <r>
          <rPr>
            <sz val="10"/>
            <rFont val="Arial"/>
            <family val="2"/>
          </rPr>
          <t xml:space="preserve">Q3 2025 Interim FS BS p.1 — Total Liabilities</t>
        </r>
      </text>
    </comment>
    <comment ref="H32" authorId="0">
      <text>
        <r>
          <rPr>
            <sz val="10"/>
            <rFont val="Arial"/>
            <family val="2"/>
          </rPr>
          <t xml:space="preserve">Q3 2025 Interim FS BS p.1 — Net assets attributable to Unitholders</t>
        </r>
      </text>
    </comment>
    <comment ref="H38" authorId="0">
      <text>
        <r>
          <rPr>
            <sz val="10"/>
            <rFont val="Arial"/>
            <family val="2"/>
          </rPr>
          <t xml:space="preserve">Q3 2025 Interim FS MD&amp;A p.3 — Management unit price Sep 30, 2025</t>
        </r>
      </text>
    </comment>
    <comment ref="H42" authorId="0">
      <text>
        <r>
          <rPr>
            <sz val="10"/>
            <rFont val="Arial"/>
            <family val="2"/>
          </rPr>
          <t xml:space="preserve">Q3 2025 MD&amp;A p.25 — WA cap rate Sep 30, 2025</t>
        </r>
      </text>
    </comment>
    <comment ref="H73" authorId="0">
      <text>
        <r>
          <rPr>
            <sz val="10"/>
            <rFont val="Arial"/>
            <family val="2"/>
          </rPr>
          <t xml:space="preserve">Q3 2025 BS — Mortgage Investments net</t>
        </r>
      </text>
    </comment>
    <comment ref="H74" authorId="0">
      <text>
        <r>
          <rPr>
            <sz val="10"/>
            <rFont val="Arial"/>
            <family val="2"/>
          </rPr>
          <t xml:space="preserve">Q3 2025 BS — PLI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FY2020 AR CFS p.9 — FY2019 comp</t>
        </r>
      </text>
    </comment>
    <comment ref="B8" authorId="0">
      <text>
        <r>
          <rPr>
            <sz val="10"/>
            <rFont val="Arial"/>
            <family val="2"/>
          </rPr>
          <t xml:space="preserve">FY2020 AR — FY2019. Reverse accrual interest.</t>
        </r>
      </text>
    </comment>
    <comment ref="B9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0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1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2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3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4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5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6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18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20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21" authorId="0">
      <text>
        <r>
          <rPr>
            <sz val="10"/>
            <rFont val="Arial"/>
            <family val="2"/>
          </rPr>
          <t xml:space="preserve">FY2019: $24,422 gap. FY2020 AR CFS shows FY2019 with "Realized FV gains on PLI and EAI" of $24,422 as a separate operating adjustment not captured above. CFS format changed.</t>
        </r>
      </text>
    </comment>
    <comment ref="B24" authorId="0">
      <text>
        <r>
          <rPr>
            <sz val="10"/>
            <rFont val="Arial"/>
            <family val="2"/>
          </rPr>
          <t xml:space="preserve">FY2020 AR CFS</t>
        </r>
      </text>
    </comment>
    <comment ref="B25" authorId="0">
      <text>
        <r>
          <rPr>
            <sz val="10"/>
            <rFont val="Arial"/>
            <family val="2"/>
          </rPr>
          <t xml:space="preserve">FY2020 AR CFS</t>
        </r>
      </text>
    </comment>
    <comment ref="B26" authorId="0">
      <text>
        <r>
          <rPr>
            <sz val="10"/>
            <rFont val="Arial"/>
            <family val="2"/>
          </rPr>
          <t xml:space="preserve">FY2020 AR CFS</t>
        </r>
      </text>
    </comment>
    <comment ref="B27" authorId="0">
      <text>
        <r>
          <rPr>
            <sz val="10"/>
            <rFont val="Arial"/>
            <family val="2"/>
          </rPr>
          <t xml:space="preserve">FY2020 AR CFS</t>
        </r>
      </text>
    </comment>
    <comment ref="B28" authorId="0">
      <text>
        <r>
          <rPr>
            <sz val="10"/>
            <rFont val="Arial"/>
            <family val="2"/>
          </rPr>
          <t xml:space="preserve">FY2020 AR CFS</t>
        </r>
      </text>
    </comment>
    <comment ref="B29" authorId="0">
      <text>
        <r>
          <rPr>
            <sz val="10"/>
            <rFont val="Arial"/>
            <family val="2"/>
          </rPr>
          <t xml:space="preserve">FY2020 AR CFS</t>
        </r>
      </text>
    </comment>
    <comment ref="B30" authorId="0">
      <text>
        <r>
          <rPr>
            <sz val="10"/>
            <rFont val="Arial"/>
            <family val="2"/>
          </rPr>
          <t xml:space="preserve">FY2020 AR CFS</t>
        </r>
      </text>
    </comment>
    <comment ref="B31" authorId="0">
      <text>
        <r>
          <rPr>
            <sz val="10"/>
            <rFont val="Arial"/>
            <family val="2"/>
          </rPr>
          <t xml:space="preserve">FY2020 AR CFS</t>
        </r>
      </text>
    </comment>
    <comment ref="B32" authorId="0">
      <text>
        <r>
          <rPr>
            <sz val="10"/>
            <rFont val="Arial"/>
            <family val="2"/>
          </rPr>
          <t xml:space="preserve">FY2020 AR CFS</t>
        </r>
      </text>
    </comment>
    <comment ref="B34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38" authorId="0">
      <text>
        <r>
          <rPr>
            <sz val="10"/>
            <rFont val="Arial"/>
            <family val="2"/>
          </rPr>
          <t xml:space="preserve">FY2020 AR CFS</t>
        </r>
      </text>
    </comment>
    <comment ref="B39" authorId="0">
      <text>
        <r>
          <rPr>
            <sz val="10"/>
            <rFont val="Arial"/>
            <family val="2"/>
          </rPr>
          <t xml:space="preserve">FY2020 AR CFS</t>
        </r>
      </text>
    </comment>
    <comment ref="B41" authorId="0">
      <text>
        <r>
          <rPr>
            <sz val="10"/>
            <rFont val="Arial"/>
            <family val="2"/>
          </rPr>
          <t xml:space="preserve">FY2020 AR CFS</t>
        </r>
      </text>
    </comment>
    <comment ref="B42" authorId="0">
      <text>
        <r>
          <rPr>
            <sz val="10"/>
            <rFont val="Arial"/>
            <family val="2"/>
          </rPr>
          <t xml:space="preserve">FY2020 AR CFS</t>
        </r>
      </text>
    </comment>
    <comment ref="B44" authorId="0">
      <text>
        <r>
          <rPr>
            <sz val="10"/>
            <rFont val="Arial"/>
            <family val="2"/>
          </rPr>
          <t xml:space="preserve">FY2020 AR CFS</t>
        </r>
      </text>
    </comment>
    <comment ref="B45" authorId="0">
      <text>
        <r>
          <rPr>
            <sz val="10"/>
            <rFont val="Arial"/>
            <family val="2"/>
          </rPr>
          <t xml:space="preserve">FY2020 AR CFS</t>
        </r>
      </text>
    </comment>
    <comment ref="B46" authorId="0">
      <text>
        <r>
          <rPr>
            <sz val="10"/>
            <rFont val="Arial"/>
            <family val="2"/>
          </rPr>
          <t xml:space="preserve">FY2020 AR CFS</t>
        </r>
      </text>
    </comment>
    <comment ref="B47" authorId="0">
      <text>
        <r>
          <rPr>
            <sz val="10"/>
            <rFont val="Arial"/>
            <family val="2"/>
          </rPr>
          <t xml:space="preserve">FY2020 AR CFS</t>
        </r>
      </text>
    </comment>
    <comment ref="B48" authorId="0">
      <text>
        <r>
          <rPr>
            <sz val="10"/>
            <rFont val="Arial"/>
            <family val="2"/>
          </rPr>
          <t xml:space="preserve">FY2020 AR CFS</t>
        </r>
      </text>
    </comment>
    <comment ref="B49" authorId="0">
      <text>
        <r>
          <rPr>
            <sz val="10"/>
            <rFont val="Arial"/>
            <family val="2"/>
          </rPr>
          <t xml:space="preserve">FY2020 AR CFS</t>
        </r>
      </text>
    </comment>
    <comment ref="B50" authorId="0">
      <text>
        <r>
          <rPr>
            <sz val="10"/>
            <rFont val="Arial"/>
            <family val="2"/>
          </rPr>
          <t xml:space="preserve">FY2020 AR CFS</t>
        </r>
      </text>
    </comment>
    <comment ref="B51" authorId="0">
      <text>
        <r>
          <rPr>
            <sz val="10"/>
            <rFont val="Arial"/>
            <family val="2"/>
          </rPr>
          <t xml:space="preserve">FY2020 AR CFS</t>
        </r>
      </text>
    </comment>
    <comment ref="B53" authorId="0">
      <text>
        <r>
          <rPr>
            <sz val="10"/>
            <rFont val="Arial"/>
            <family val="2"/>
          </rPr>
          <t xml:space="preserve">FY2020 AR CFS — FY2019</t>
        </r>
      </text>
    </comment>
    <comment ref="B58" authorId="0">
      <text>
        <r>
          <rPr>
            <sz val="10"/>
            <rFont val="Arial"/>
            <family val="2"/>
          </rPr>
          <t xml:space="preserve">FY2020 AR CFS — FY2019 beginning</t>
        </r>
      </text>
    </comment>
    <comment ref="C7" authorId="0">
      <text>
        <r>
          <rPr>
            <sz val="10"/>
            <rFont val="Arial"/>
            <family val="2"/>
          </rPr>
          <t xml:space="preserve">FY2020 AR CFS p.9</t>
        </r>
      </text>
    </comment>
    <comment ref="C8" authorId="0">
      <text>
        <r>
          <rPr>
            <sz val="10"/>
            <rFont val="Arial"/>
            <family val="2"/>
          </rPr>
          <t xml:space="preserve">FY2020 AR CFS</t>
        </r>
      </text>
    </comment>
    <comment ref="C9" authorId="0">
      <text>
        <r>
          <rPr>
            <sz val="10"/>
            <rFont val="Arial"/>
            <family val="2"/>
          </rPr>
          <t xml:space="preserve">FY2020 AR CFS</t>
        </r>
      </text>
    </comment>
    <comment ref="C10" authorId="0">
      <text>
        <r>
          <rPr>
            <sz val="10"/>
            <rFont val="Arial"/>
            <family val="2"/>
          </rPr>
          <t xml:space="preserve">FY2020 AR CFS</t>
        </r>
      </text>
    </comment>
    <comment ref="C11" authorId="0">
      <text>
        <r>
          <rPr>
            <sz val="10"/>
            <rFont val="Arial"/>
            <family val="2"/>
          </rPr>
          <t xml:space="preserve">FY2020 AR CFS</t>
        </r>
      </text>
    </comment>
    <comment ref="C12" authorId="0">
      <text>
        <r>
          <rPr>
            <sz val="10"/>
            <rFont val="Arial"/>
            <family val="2"/>
          </rPr>
          <t xml:space="preserve">FY2020 AR CFS</t>
        </r>
      </text>
    </comment>
    <comment ref="C13" authorId="0">
      <text>
        <r>
          <rPr>
            <sz val="10"/>
            <rFont val="Arial"/>
            <family val="2"/>
          </rPr>
          <t xml:space="preserve">FY2020 AR CFS</t>
        </r>
      </text>
    </comment>
    <comment ref="C14" authorId="0">
      <text>
        <r>
          <rPr>
            <sz val="10"/>
            <rFont val="Arial"/>
            <family val="2"/>
          </rPr>
          <t xml:space="preserve">FY2020 AR CFS</t>
        </r>
      </text>
    </comment>
    <comment ref="C15" authorId="0">
      <text>
        <r>
          <rPr>
            <sz val="10"/>
            <rFont val="Arial"/>
            <family val="2"/>
          </rPr>
          <t xml:space="preserve">FY2020 AR CFS</t>
        </r>
      </text>
    </comment>
    <comment ref="C16" authorId="0">
      <text>
        <r>
          <rPr>
            <sz val="10"/>
            <rFont val="Arial"/>
            <family val="2"/>
          </rPr>
          <t xml:space="preserve">FY2020 AR CFS</t>
        </r>
      </text>
    </comment>
    <comment ref="C18" authorId="0">
      <text>
        <r>
          <rPr>
            <sz val="10"/>
            <rFont val="Arial"/>
            <family val="2"/>
          </rPr>
          <t xml:space="preserve">FY2020 AR CFS</t>
        </r>
      </text>
    </comment>
    <comment ref="C20" authorId="0">
      <text>
        <r>
          <rPr>
            <sz val="10"/>
            <rFont val="Arial"/>
            <family val="2"/>
          </rPr>
          <t xml:space="preserve">FY2020 AR CFS</t>
        </r>
      </text>
    </comment>
    <comment ref="C24" authorId="0">
      <text>
        <r>
          <rPr>
            <sz val="10"/>
            <rFont val="Arial"/>
            <family val="2"/>
          </rPr>
          <t xml:space="preserve">FY2020 AR CFS</t>
        </r>
      </text>
    </comment>
    <comment ref="C25" authorId="0">
      <text>
        <r>
          <rPr>
            <sz val="10"/>
            <rFont val="Arial"/>
            <family val="2"/>
          </rPr>
          <t xml:space="preserve">FY2020 AR CFS</t>
        </r>
      </text>
    </comment>
    <comment ref="C26" authorId="0">
      <text>
        <r>
          <rPr>
            <sz val="10"/>
            <rFont val="Arial"/>
            <family val="2"/>
          </rPr>
          <t xml:space="preserve">FY2020 AR CFS</t>
        </r>
      </text>
    </comment>
    <comment ref="C27" authorId="0">
      <text>
        <r>
          <rPr>
            <sz val="10"/>
            <rFont val="Arial"/>
            <family val="2"/>
          </rPr>
          <t xml:space="preserve">FY2020 AR CFS</t>
        </r>
      </text>
    </comment>
    <comment ref="C28" authorId="0">
      <text>
        <r>
          <rPr>
            <sz val="10"/>
            <rFont val="Arial"/>
            <family val="2"/>
          </rPr>
          <t xml:space="preserve">FY2020 AR CFS</t>
        </r>
      </text>
    </comment>
    <comment ref="C29" authorId="0">
      <text>
        <r>
          <rPr>
            <sz val="10"/>
            <rFont val="Arial"/>
            <family val="2"/>
          </rPr>
          <t xml:space="preserve">FY2020 AR CFS</t>
        </r>
      </text>
    </comment>
    <comment ref="C30" authorId="0">
      <text>
        <r>
          <rPr>
            <sz val="10"/>
            <rFont val="Arial"/>
            <family val="2"/>
          </rPr>
          <t xml:space="preserve">FY2020 AR CFS</t>
        </r>
      </text>
    </comment>
    <comment ref="C31" authorId="0">
      <text>
        <r>
          <rPr>
            <sz val="10"/>
            <rFont val="Arial"/>
            <family val="2"/>
          </rPr>
          <t xml:space="preserve">FY2020 AR CFS</t>
        </r>
      </text>
    </comment>
    <comment ref="C32" authorId="0">
      <text>
        <r>
          <rPr>
            <sz val="10"/>
            <rFont val="Arial"/>
            <family val="2"/>
          </rPr>
          <t xml:space="preserve">FY2020 AR CFS</t>
        </r>
      </text>
    </comment>
    <comment ref="C34" authorId="0">
      <text>
        <r>
          <rPr>
            <sz val="10"/>
            <rFont val="Arial"/>
            <family val="2"/>
          </rPr>
          <t xml:space="preserve">FY2020 AR CFS</t>
        </r>
      </text>
    </comment>
    <comment ref="C38" authorId="0">
      <text>
        <r>
          <rPr>
            <sz val="10"/>
            <rFont val="Arial"/>
            <family val="2"/>
          </rPr>
          <t xml:space="preserve">FY2021 AR CFS</t>
        </r>
      </text>
    </comment>
    <comment ref="C39" authorId="0">
      <text>
        <r>
          <rPr>
            <sz val="10"/>
            <rFont val="Arial"/>
            <family val="2"/>
          </rPr>
          <t xml:space="preserve">FY2021 AR CFS</t>
        </r>
      </text>
    </comment>
    <comment ref="C41" authorId="0">
      <text>
        <r>
          <rPr>
            <sz val="10"/>
            <rFont val="Arial"/>
            <family val="2"/>
          </rPr>
          <t xml:space="preserve">FY2021 AR CFS</t>
        </r>
      </text>
    </comment>
    <comment ref="C42" authorId="0">
      <text>
        <r>
          <rPr>
            <sz val="10"/>
            <rFont val="Arial"/>
            <family val="2"/>
          </rPr>
          <t xml:space="preserve">FY2021 AR CFS</t>
        </r>
      </text>
    </comment>
    <comment ref="C44" authorId="0">
      <text>
        <r>
          <rPr>
            <sz val="10"/>
            <rFont val="Arial"/>
            <family val="2"/>
          </rPr>
          <t xml:space="preserve">FY2021 AR CFS</t>
        </r>
      </text>
    </comment>
    <comment ref="C45" authorId="0">
      <text>
        <r>
          <rPr>
            <sz val="10"/>
            <rFont val="Arial"/>
            <family val="2"/>
          </rPr>
          <t xml:space="preserve">FY2021 AR CFS</t>
        </r>
      </text>
    </comment>
    <comment ref="C46" authorId="0">
      <text>
        <r>
          <rPr>
            <sz val="10"/>
            <rFont val="Arial"/>
            <family val="2"/>
          </rPr>
          <t xml:space="preserve">FY2021 AR CFS</t>
        </r>
      </text>
    </comment>
    <comment ref="C47" authorId="0">
      <text>
        <r>
          <rPr>
            <sz val="10"/>
            <rFont val="Arial"/>
            <family val="2"/>
          </rPr>
          <t xml:space="preserve">FY2021 AR CFS</t>
        </r>
      </text>
    </comment>
    <comment ref="C48" authorId="0">
      <text>
        <r>
          <rPr>
            <sz val="10"/>
            <rFont val="Arial"/>
            <family val="2"/>
          </rPr>
          <t xml:space="preserve">FY2021 AR CFS</t>
        </r>
      </text>
    </comment>
    <comment ref="C49" authorId="0">
      <text>
        <r>
          <rPr>
            <sz val="10"/>
            <rFont val="Arial"/>
            <family val="2"/>
          </rPr>
          <t xml:space="preserve">FY2021 AR CFS</t>
        </r>
      </text>
    </comment>
    <comment ref="C50" authorId="0">
      <text>
        <r>
          <rPr>
            <sz val="10"/>
            <rFont val="Arial"/>
            <family val="2"/>
          </rPr>
          <t xml:space="preserve">FY2021 AR CFS</t>
        </r>
      </text>
    </comment>
    <comment ref="C51" authorId="0">
      <text>
        <r>
          <rPr>
            <sz val="10"/>
            <rFont val="Arial"/>
            <family val="2"/>
          </rPr>
          <t xml:space="preserve">FY2021 AR CFS</t>
        </r>
      </text>
    </comment>
    <comment ref="C53" authorId="0">
      <text>
        <r>
          <rPr>
            <sz val="10"/>
            <rFont val="Arial"/>
            <family val="2"/>
          </rPr>
          <t xml:space="preserve">FY2020 AR CFS</t>
        </r>
      </text>
    </comment>
    <comment ref="C58" authorId="0">
      <text>
        <r>
          <rPr>
            <sz val="10"/>
            <rFont val="Arial"/>
            <family val="2"/>
          </rPr>
          <t xml:space="preserve">FY2020 AR CFS</t>
        </r>
      </text>
    </comment>
    <comment ref="D7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8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9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0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1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2" authorId="0">
      <text>
        <r>
          <rPr>
            <sz val="10"/>
            <rFont val="Arial"/>
            <family val="2"/>
          </rPr>
          <t xml:space="preserve">FY2021 AR CFS p.9. Note: FY2022 combines FV+EAI.</t>
        </r>
      </text>
    </comment>
    <comment ref="D13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4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5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6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8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0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4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5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6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7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8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29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30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31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32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34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38" authorId="0">
      <text>
        <r>
          <rPr>
            <sz val="10"/>
            <rFont val="Arial"/>
            <family val="2"/>
          </rPr>
          <t xml:space="preserve">FY2022 AR CFS</t>
        </r>
      </text>
    </comment>
    <comment ref="D39" authorId="0">
      <text>
        <r>
          <rPr>
            <sz val="10"/>
            <rFont val="Arial"/>
            <family val="2"/>
          </rPr>
          <t xml:space="preserve">FY2022 AR CFS</t>
        </r>
      </text>
    </comment>
    <comment ref="D41" authorId="0">
      <text>
        <r>
          <rPr>
            <sz val="10"/>
            <rFont val="Arial"/>
            <family val="2"/>
          </rPr>
          <t xml:space="preserve">FY2022 AR CFS</t>
        </r>
      </text>
    </comment>
    <comment ref="D42" authorId="0">
      <text>
        <r>
          <rPr>
            <sz val="10"/>
            <rFont val="Arial"/>
            <family val="2"/>
          </rPr>
          <t xml:space="preserve">FY2022 AR CFS</t>
        </r>
      </text>
    </comment>
    <comment ref="D44" authorId="0">
      <text>
        <r>
          <rPr>
            <sz val="10"/>
            <rFont val="Arial"/>
            <family val="2"/>
          </rPr>
          <t xml:space="preserve">FY2022 AR CFS</t>
        </r>
      </text>
    </comment>
    <comment ref="D45" authorId="0">
      <text>
        <r>
          <rPr>
            <sz val="10"/>
            <rFont val="Arial"/>
            <family val="2"/>
          </rPr>
          <t xml:space="preserve">FY2022 AR CFS</t>
        </r>
      </text>
    </comment>
    <comment ref="D46" authorId="0">
      <text>
        <r>
          <rPr>
            <sz val="10"/>
            <rFont val="Arial"/>
            <family val="2"/>
          </rPr>
          <t xml:space="preserve">FY2022 AR CFS</t>
        </r>
      </text>
    </comment>
    <comment ref="D47" authorId="0">
      <text>
        <r>
          <rPr>
            <sz val="10"/>
            <rFont val="Arial"/>
            <family val="2"/>
          </rPr>
          <t xml:space="preserve">FY2022 AR CFS</t>
        </r>
      </text>
    </comment>
    <comment ref="D48" authorId="0">
      <text>
        <r>
          <rPr>
            <sz val="10"/>
            <rFont val="Arial"/>
            <family val="2"/>
          </rPr>
          <t xml:space="preserve">FY2022 AR CFS</t>
        </r>
      </text>
    </comment>
    <comment ref="D49" authorId="0">
      <text>
        <r>
          <rPr>
            <sz val="10"/>
            <rFont val="Arial"/>
            <family val="2"/>
          </rPr>
          <t xml:space="preserve">FY2022 AR CFS</t>
        </r>
      </text>
    </comment>
    <comment ref="D50" authorId="0">
      <text>
        <r>
          <rPr>
            <sz val="10"/>
            <rFont val="Arial"/>
            <family val="2"/>
          </rPr>
          <t xml:space="preserve">FY2022 AR CFS</t>
        </r>
      </text>
    </comment>
    <comment ref="D53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58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E7" authorId="0">
      <text>
        <r>
          <rPr>
            <sz val="10"/>
            <rFont val="Arial"/>
            <family val="2"/>
          </rPr>
          <t xml:space="preserve">FY2022 AR CFS</t>
        </r>
      </text>
    </comment>
    <comment ref="E8" authorId="0">
      <text>
        <r>
          <rPr>
            <sz val="10"/>
            <rFont val="Arial"/>
            <family val="2"/>
          </rPr>
          <t xml:space="preserve">FY2022 AR CFS</t>
        </r>
      </text>
    </comment>
    <comment ref="E9" authorId="0">
      <text>
        <r>
          <rPr>
            <sz val="10"/>
            <rFont val="Arial"/>
            <family val="2"/>
          </rPr>
          <t xml:space="preserve">FY2022 AR CFS</t>
        </r>
      </text>
    </comment>
    <comment ref="E10" authorId="0">
      <text>
        <r>
          <rPr>
            <sz val="10"/>
            <rFont val="Arial"/>
            <family val="2"/>
          </rPr>
          <t xml:space="preserve">FY2022 AR CFS</t>
        </r>
      </text>
    </comment>
    <comment ref="E11" authorId="0">
      <text>
        <r>
          <rPr>
            <sz val="10"/>
            <rFont val="Arial"/>
            <family val="2"/>
          </rPr>
          <t xml:space="preserve">FY2022 AR CFS</t>
        </r>
      </text>
    </comment>
    <comment ref="E12" authorId="0">
      <text>
        <r>
          <rPr>
            <sz val="10"/>
            <rFont val="Arial"/>
            <family val="2"/>
          </rPr>
          <t xml:space="preserve">FY2022 AR CFS — separate from FV in FY2022</t>
        </r>
      </text>
    </comment>
    <comment ref="E13" authorId="0">
      <text>
        <r>
          <rPr>
            <sz val="10"/>
            <rFont val="Arial"/>
            <family val="2"/>
          </rPr>
          <t xml:space="preserve">FY2022 AR CFS</t>
        </r>
      </text>
    </comment>
    <comment ref="E14" authorId="0">
      <text>
        <r>
          <rPr>
            <sz val="10"/>
            <rFont val="Arial"/>
            <family val="2"/>
          </rPr>
          <t xml:space="preserve">FY2022 AR CFS</t>
        </r>
      </text>
    </comment>
    <comment ref="E15" authorId="0">
      <text>
        <r>
          <rPr>
            <sz val="10"/>
            <rFont val="Arial"/>
            <family val="2"/>
          </rPr>
          <t xml:space="preserve">FY2022 AR CFS</t>
        </r>
      </text>
    </comment>
    <comment ref="E16" authorId="0">
      <text>
        <r>
          <rPr>
            <sz val="10"/>
            <rFont val="Arial"/>
            <family val="2"/>
          </rPr>
          <t xml:space="preserve">FY2022 AR CFS</t>
        </r>
      </text>
    </comment>
    <comment ref="E18" authorId="0">
      <text>
        <r>
          <rPr>
            <sz val="10"/>
            <rFont val="Arial"/>
            <family val="2"/>
          </rPr>
          <t xml:space="preserve">FY2022 AR CFS</t>
        </r>
      </text>
    </comment>
    <comment ref="E20" authorId="0">
      <text>
        <r>
          <rPr>
            <sz val="10"/>
            <rFont val="Arial"/>
            <family val="2"/>
          </rPr>
          <t xml:space="preserve">FY2022 AR CFS</t>
        </r>
      </text>
    </comment>
    <comment ref="E24" authorId="0">
      <text>
        <r>
          <rPr>
            <sz val="10"/>
            <rFont val="Arial"/>
            <family val="2"/>
          </rPr>
          <t xml:space="preserve">FY2022 AR CFS</t>
        </r>
      </text>
    </comment>
    <comment ref="E25" authorId="0">
      <text>
        <r>
          <rPr>
            <sz val="10"/>
            <rFont val="Arial"/>
            <family val="2"/>
          </rPr>
          <t xml:space="preserve">FY2022 AR CFS</t>
        </r>
      </text>
    </comment>
    <comment ref="E26" authorId="0">
      <text>
        <r>
          <rPr>
            <sz val="10"/>
            <rFont val="Arial"/>
            <family val="2"/>
          </rPr>
          <t xml:space="preserve">FY2022 AR CFS</t>
        </r>
      </text>
    </comment>
    <comment ref="E27" authorId="0">
      <text>
        <r>
          <rPr>
            <sz val="10"/>
            <rFont val="Arial"/>
            <family val="2"/>
          </rPr>
          <t xml:space="preserve">FY2022 AR CFS</t>
        </r>
      </text>
    </comment>
    <comment ref="E28" authorId="0">
      <text>
        <r>
          <rPr>
            <sz val="10"/>
            <rFont val="Arial"/>
            <family val="2"/>
          </rPr>
          <t xml:space="preserve">FY2022 AR CFS</t>
        </r>
      </text>
    </comment>
    <comment ref="E29" authorId="0">
      <text>
        <r>
          <rPr>
            <sz val="10"/>
            <rFont val="Arial"/>
            <family val="2"/>
          </rPr>
          <t xml:space="preserve">FY2022 AR CFS</t>
        </r>
      </text>
    </comment>
    <comment ref="E30" authorId="0">
      <text>
        <r>
          <rPr>
            <sz val="10"/>
            <rFont val="Arial"/>
            <family val="2"/>
          </rPr>
          <t xml:space="preserve">FY2022 AR CFS</t>
        </r>
      </text>
    </comment>
    <comment ref="E31" authorId="0">
      <text>
        <r>
          <rPr>
            <sz val="10"/>
            <rFont val="Arial"/>
            <family val="2"/>
          </rPr>
          <t xml:space="preserve">FY2022 AR CFS</t>
        </r>
      </text>
    </comment>
    <comment ref="E32" authorId="0">
      <text>
        <r>
          <rPr>
            <sz val="10"/>
            <rFont val="Arial"/>
            <family val="2"/>
          </rPr>
          <t xml:space="preserve">FY2022 AR CFS</t>
        </r>
      </text>
    </comment>
    <comment ref="E34" authorId="0">
      <text>
        <r>
          <rPr>
            <sz val="10"/>
            <rFont val="Arial"/>
            <family val="2"/>
          </rPr>
          <t xml:space="preserve">FY2022 AR CFS</t>
        </r>
      </text>
    </comment>
    <comment ref="E38" authorId="0">
      <text>
        <r>
          <rPr>
            <sz val="10"/>
            <rFont val="Arial"/>
            <family val="2"/>
          </rPr>
          <t xml:space="preserve">FY2022 AR CFS</t>
        </r>
      </text>
    </comment>
    <comment ref="E39" authorId="0">
      <text>
        <r>
          <rPr>
            <sz val="10"/>
            <rFont val="Arial"/>
            <family val="2"/>
          </rPr>
          <t xml:space="preserve">FY2022 AR CFS</t>
        </r>
      </text>
    </comment>
    <comment ref="E41" authorId="0">
      <text>
        <r>
          <rPr>
            <sz val="10"/>
            <rFont val="Arial"/>
            <family val="2"/>
          </rPr>
          <t xml:space="preserve">FY2022 AR CFS</t>
        </r>
      </text>
    </comment>
    <comment ref="E42" authorId="0">
      <text>
        <r>
          <rPr>
            <sz val="10"/>
            <rFont val="Arial"/>
            <family val="2"/>
          </rPr>
          <t xml:space="preserve">FY2022 AR CFS</t>
        </r>
      </text>
    </comment>
    <comment ref="E44" authorId="0">
      <text>
        <r>
          <rPr>
            <sz val="10"/>
            <rFont val="Arial"/>
            <family val="2"/>
          </rPr>
          <t xml:space="preserve">FY2022 AR CFS</t>
        </r>
      </text>
    </comment>
    <comment ref="E45" authorId="0">
      <text>
        <r>
          <rPr>
            <sz val="10"/>
            <rFont val="Arial"/>
            <family val="2"/>
          </rPr>
          <t xml:space="preserve">FY2022 AR CFS</t>
        </r>
      </text>
    </comment>
    <comment ref="E46" authorId="0">
      <text>
        <r>
          <rPr>
            <sz val="10"/>
            <rFont val="Arial"/>
            <family val="2"/>
          </rPr>
          <t xml:space="preserve">FY2022 AR CFS</t>
        </r>
      </text>
    </comment>
    <comment ref="E47" authorId="0">
      <text>
        <r>
          <rPr>
            <sz val="10"/>
            <rFont val="Arial"/>
            <family val="2"/>
          </rPr>
          <t xml:space="preserve">FY2022 AR CFS</t>
        </r>
      </text>
    </comment>
    <comment ref="E48" authorId="0">
      <text>
        <r>
          <rPr>
            <sz val="10"/>
            <rFont val="Arial"/>
            <family val="2"/>
          </rPr>
          <t xml:space="preserve">FY2022 AR CFS</t>
        </r>
      </text>
    </comment>
    <comment ref="E49" authorId="0">
      <text>
        <r>
          <rPr>
            <sz val="10"/>
            <rFont val="Arial"/>
            <family val="2"/>
          </rPr>
          <t xml:space="preserve">FY2022 AR CFS</t>
        </r>
      </text>
    </comment>
    <comment ref="E50" authorId="0">
      <text>
        <r>
          <rPr>
            <sz val="10"/>
            <rFont val="Arial"/>
            <family val="2"/>
          </rPr>
          <t xml:space="preserve">FY2022 AR CFS</t>
        </r>
      </text>
    </comment>
    <comment ref="E53" authorId="0">
      <text>
        <r>
          <rPr>
            <sz val="10"/>
            <rFont val="Arial"/>
            <family val="2"/>
          </rPr>
          <t xml:space="preserve">FY2022 AR CFS</t>
        </r>
      </text>
    </comment>
    <comment ref="E58" authorId="0">
      <text>
        <r>
          <rPr>
            <sz val="10"/>
            <rFont val="Arial"/>
            <family val="2"/>
          </rPr>
          <t xml:space="preserve">FY2022 AR CFS</t>
        </r>
      </text>
    </comment>
    <comment ref="F7" authorId="0">
      <text>
        <r>
          <rPr>
            <sz val="10"/>
            <rFont val="Arial"/>
            <family val="2"/>
          </rPr>
          <t xml:space="preserve">FY2024 AR CFS p.4 — FY2023 comp</t>
        </r>
      </text>
    </comment>
    <comment ref="F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2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3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17" authorId="0">
      <text>
        <r>
          <rPr>
            <sz val="10"/>
            <rFont val="Arial"/>
            <family val="2"/>
          </rPr>
          <t xml:space="preserve">FY2024 AR CFS p.4 — FY2023</t>
        </r>
      </text>
    </comment>
    <comment ref="F1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2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2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3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3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4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5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53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F5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2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3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2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2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4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3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1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5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6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7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49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5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53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58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H19" authorId="0">
      <text>
        <r>
          <rPr>
            <sz val="10"/>
            <rFont val="Arial"/>
            <family val="2"/>
          </rPr>
          <t xml:space="preserve">Q3 2025 Interim FS CFS p.4 — CFO YTD 9-mo</t>
        </r>
      </text>
    </comment>
    <comment ref="H20" authorId="0">
      <text>
        <r>
          <rPr>
            <sz val="10"/>
            <rFont val="Arial"/>
            <family val="2"/>
          </rPr>
          <t xml:space="preserve">Q3 2025 Interim FS CFS p.4</t>
        </r>
      </text>
    </comment>
    <comment ref="H24" authorId="0">
      <text>
        <r>
          <rPr>
            <sz val="10"/>
            <rFont val="Arial"/>
            <family val="2"/>
          </rPr>
          <t xml:space="preserve">Q3 2025 Interim FS CFS p.4 — Units issued YTD 9-mo</t>
        </r>
      </text>
    </comment>
    <comment ref="H25" authorId="0">
      <text>
        <r>
          <rPr>
            <sz val="10"/>
            <rFont val="Arial"/>
            <family val="2"/>
          </rPr>
          <t xml:space="preserve">Q3 2025 Interim FS CFS p.4 — Unit issue costs YTD 9-mo</t>
        </r>
      </text>
    </comment>
    <comment ref="H26" authorId="0">
      <text>
        <r>
          <rPr>
            <sz val="10"/>
            <rFont val="Arial"/>
            <family val="2"/>
          </rPr>
          <t xml:space="preserve">Q3 2025 Interim FS CFS p.4 — Cash distributions YTD 9-mo</t>
        </r>
      </text>
    </comment>
    <comment ref="H27" authorId="0">
      <text>
        <r>
          <rPr>
            <sz val="10"/>
            <rFont val="Arial"/>
            <family val="2"/>
          </rPr>
          <t xml:space="preserve">Q3 2025 Interim FS CFS p.4 — Redemptions YTD 9-mo</t>
        </r>
      </text>
    </comment>
    <comment ref="H28" authorId="0">
      <text>
        <r>
          <rPr>
            <sz val="10"/>
            <rFont val="Arial"/>
            <family val="2"/>
          </rPr>
          <t xml:space="preserve">Q3 2025 Interim FS CFS p.4 — Capitalized financing fees YTD 9-mo</t>
        </r>
      </text>
    </comment>
    <comment ref="H29" authorId="0">
      <text>
        <r>
          <rPr>
            <sz val="10"/>
            <rFont val="Arial"/>
            <family val="2"/>
          </rPr>
          <t xml:space="preserve">Q3 2025 Interim FS Note 24 p.39 — Mortgage advances YTD 9-mo (new $36,681 + refinanced $19,763)</t>
        </r>
      </text>
    </comment>
    <comment ref="H30" authorId="0">
      <text>
        <r>
          <rPr>
            <sz val="10"/>
            <rFont val="Arial"/>
            <family val="2"/>
          </rPr>
          <t xml:space="preserve">Q3 2025 Interim FS CFS p.4 — Principal repayments YTD 9-mo</t>
        </r>
      </text>
    </comment>
    <comment ref="H31" authorId="0">
      <text>
        <r>
          <rPr>
            <sz val="10"/>
            <rFont val="Arial"/>
            <family val="2"/>
          </rPr>
          <t xml:space="preserve">Q3 2025 Interim FS CFS p.4 — Credit facility advances YTD 9-mo</t>
        </r>
      </text>
    </comment>
    <comment ref="H32" authorId="0">
      <text>
        <r>
          <rPr>
            <sz val="10"/>
            <rFont val="Arial"/>
            <family val="2"/>
          </rPr>
          <t xml:space="preserve">Q3 2025 Interim FS CFS p.4 — Finance costs paid YTD 9-mo</t>
        </r>
      </text>
    </comment>
    <comment ref="H34" authorId="0">
      <text>
        <r>
          <rPr>
            <sz val="10"/>
            <rFont val="Arial"/>
            <family val="2"/>
          </rPr>
          <t xml:space="preserve">Q3 2025 Interim FS CFS p.4 — CFF YTD 9-mo</t>
        </r>
      </text>
    </comment>
    <comment ref="H38" authorId="0">
      <text>
        <r>
          <rPr>
            <sz val="10"/>
            <rFont val="Arial"/>
            <family val="2"/>
          </rPr>
          <t xml:space="preserve">Q3 2025 Interim FS CFS p.4 — No IP acquisitions YTD 9-mo</t>
        </r>
      </text>
    </comment>
    <comment ref="H39" authorId="0">
      <text>
        <r>
          <rPr>
            <sz val="10"/>
            <rFont val="Arial"/>
            <family val="2"/>
          </rPr>
          <t xml:space="preserve">Q3 2025 Interim FS CFS p.4 — IP acquisition costs YTD 9-mo</t>
        </r>
      </text>
    </comment>
    <comment ref="H40" authorId="0">
      <text>
        <r>
          <rPr>
            <sz val="10"/>
            <rFont val="Arial"/>
            <family val="2"/>
          </rPr>
          <t xml:space="preserve">Q3 2025 Interim FS CFS p.4 — IP development costs YTD 9-mo</t>
        </r>
      </text>
    </comment>
    <comment ref="H41" authorId="0">
      <text>
        <r>
          <rPr>
            <sz val="10"/>
            <rFont val="Arial"/>
            <family val="2"/>
          </rPr>
          <t xml:space="preserve">Q3 2025 Interim FS CFS p.4 — IP improvements YTD 9-mo</t>
        </r>
      </text>
    </comment>
    <comment ref="H45" authorId="0">
      <text>
        <r>
          <rPr>
            <sz val="10"/>
            <rFont val="Arial"/>
            <family val="2"/>
          </rPr>
          <t xml:space="preserve">Q3 2025 Interim FS CFS p.4 — MI/PLI funded YTD 9-mo (combined)</t>
        </r>
      </text>
    </comment>
    <comment ref="H46" authorId="0">
      <text>
        <r>
          <rPr>
            <sz val="10"/>
            <rFont val="Arial"/>
            <family val="2"/>
          </rPr>
          <t xml:space="preserve">Q3 2025 Interim FS CFS p.4 — MI/PLI repaid YTD 9-mo (combined)</t>
        </r>
      </text>
    </comment>
    <comment ref="H47" authorId="0">
      <text>
        <r>
          <rPr>
            <sz val="10"/>
            <rFont val="Arial"/>
            <family val="2"/>
          </rPr>
          <t xml:space="preserve">Q3 2025 Interim FS CFS p.4 — EAI funded YTD 9-mo</t>
        </r>
      </text>
    </comment>
    <comment ref="H48" authorId="0">
      <text>
        <r>
          <rPr>
            <sz val="10"/>
            <rFont val="Arial"/>
            <family val="2"/>
          </rPr>
          <t xml:space="preserve">Q3 2025 Interim FS CFS p.4 — EAI distributions YTD 9-mo</t>
        </r>
      </text>
    </comment>
    <comment ref="H53" authorId="0">
      <text>
        <r>
          <rPr>
            <sz val="10"/>
            <rFont val="Arial"/>
            <family val="2"/>
          </rPr>
          <t xml:space="preserve">Q3 2025 Interim FS CFS p.4 — CFI YTD 9-mo</t>
        </r>
      </text>
    </comment>
    <comment ref="H54" authorId="0">
      <text>
        <r>
          <rPr>
            <sz val="10"/>
            <rFont val="Arial"/>
            <family val="2"/>
          </rPr>
          <t xml:space="preserve">Q3 2025 Interim FS CFS p.4</t>
        </r>
      </text>
    </comment>
    <comment ref="H58" authorId="0">
      <text>
        <r>
          <rPr>
            <sz val="10"/>
            <rFont val="Arial"/>
            <family val="2"/>
          </rPr>
          <t xml:space="preserve">Q3 2025 Interim FS CFS p.4 — Cash beginning = Dec 31, 2024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1" authorId="0">
      <text>
        <r>
          <rPr>
            <sz val="10"/>
            <rFont val="Arial"/>
            <family val="2"/>
          </rPr>
          <t xml:space="preserve">FY2020 AR, IS p.7 FS — FY2019 comparative. Note: FY2019 AR shows $90,492; using FY2020 comparative</t>
        </r>
      </text>
    </comment>
    <comment ref="B15" authorId="0">
      <text>
        <r>
          <rPr>
            <sz val="10"/>
            <rFont val="Arial"/>
            <family val="2"/>
          </rPr>
          <t xml:space="preserve">FY2020 AR, IS p.7 FS — FY2019 comparative. Note: FY2019 standalone shows $28,702</t>
        </r>
      </text>
    </comment>
    <comment ref="B21" authorId="0">
      <text>
        <r>
          <rPr>
            <sz val="10"/>
            <rFont val="Arial"/>
            <family val="2"/>
          </rPr>
          <t xml:space="preserve">FY2020 AR, IS p.7 FS — FY2019 comparative</t>
        </r>
      </text>
    </comment>
    <comment ref="B22" authorId="0">
      <text>
        <r>
          <rPr>
            <sz val="10"/>
            <rFont val="Arial"/>
            <family val="2"/>
          </rPr>
          <t xml:space="preserve">FY2020 AR, IS p.7 FS — FY2019 comparative</t>
        </r>
      </text>
    </comment>
    <comment ref="B23" authorId="0">
      <text>
        <r>
          <rPr>
            <sz val="10"/>
            <rFont val="Arial"/>
            <family val="2"/>
          </rPr>
          <t xml:space="preserve">FY2020 AR, IS p.7 FS — FY2019 comparative, combined line</t>
        </r>
      </text>
    </comment>
    <comment ref="B24" authorId="0">
      <text>
        <r>
          <rPr>
            <sz val="10"/>
            <rFont val="Arial"/>
            <family val="2"/>
          </rPr>
          <t xml:space="preserve">FY2020 AR, IS p.7 FS — FY2019 comparative</t>
        </r>
      </text>
    </comment>
    <comment ref="B25" authorId="0">
      <text>
        <r>
          <rPr>
            <sz val="10"/>
            <rFont val="Arial"/>
            <family val="2"/>
          </rPr>
          <t xml:space="preserve">FY2020 AR, IS p.7 FS — FY2019 comparative</t>
        </r>
      </text>
    </comment>
    <comment ref="B26" authorId="0">
      <text>
        <r>
          <rPr>
            <sz val="10"/>
            <rFont val="Arial"/>
            <family val="2"/>
          </rPr>
          <t xml:space="preserve">FY2020 AR, IS p.7 FS — FY2019 "Other income and expenses" ($5,246). Trailer not split.</t>
        </r>
      </text>
    </comment>
    <comment ref="B27" authorId="0">
      <text>
        <r>
          <rPr>
            <sz val="10"/>
            <rFont val="Arial"/>
            <family val="2"/>
          </rPr>
          <t xml:space="preserve">FY2019: Total "Other" line is ($5,246), all attributed to trailers above. Residual = $0</t>
        </r>
      </text>
    </comment>
    <comment ref="B29" authorId="0">
      <text>
        <r>
          <rPr>
            <sz val="10"/>
            <rFont val="Arial"/>
            <family val="2"/>
          </rPr>
          <t xml:space="preserve">FY2020 AR, IS p.7 FS — FY2019 comp</t>
        </r>
      </text>
    </comment>
    <comment ref="B30" authorId="0">
      <text>
        <r>
          <rPr>
            <sz val="10"/>
            <rFont val="Arial"/>
            <family val="2"/>
          </rPr>
          <t xml:space="preserve">FY2020 AR, IS p.7 FS — FY2019 comparative</t>
        </r>
      </text>
    </comment>
    <comment ref="B31" authorId="0">
      <text>
        <r>
          <rPr>
            <sz val="10"/>
            <rFont val="Arial"/>
            <family val="2"/>
          </rPr>
          <t xml:space="preserve">FY2019: No AMF</t>
        </r>
      </text>
    </comment>
    <comment ref="B35" authorId="0">
      <text>
        <r>
          <rPr>
            <sz val="10"/>
            <rFont val="Arial"/>
            <family val="2"/>
          </rPr>
          <t xml:space="preserve">FY2020 AR, Note 20 — FY2019 comparative</t>
        </r>
      </text>
    </comment>
    <comment ref="B36" authorId="0">
      <text>
        <r>
          <rPr>
            <sz val="10"/>
            <rFont val="Arial"/>
            <family val="2"/>
          </rPr>
          <t xml:space="preserve">FY2020 AR, Note 20 — FY2019 comparative</t>
        </r>
      </text>
    </comment>
    <comment ref="B40" authorId="0">
      <text>
        <r>
          <rPr>
            <sz val="10"/>
            <rFont val="Arial"/>
            <family val="2"/>
          </rPr>
          <t xml:space="preserve">FY2019: NI $115,000 from existing model. No standalone FY2019 extraction available. Component-level data from FY2020 AR comparative column does not reconcile — FV gains and EAI income presentation may differ. FY2019 IS components are UNVERIFIED.</t>
        </r>
      </text>
    </comment>
    <comment ref="B42" authorId="0">
      <text>
        <r>
          <rPr>
            <sz val="10"/>
            <rFont val="Arial"/>
            <family val="2"/>
          </rPr>
          <t xml:space="preserve">FY2020 AR, MD&amp;A p.3 — FY2019 comparative</t>
        </r>
      </text>
    </comment>
    <comment ref="B66" authorId="0">
      <text>
        <r>
          <rPr>
            <sz val="10"/>
            <rFont val="Arial"/>
            <family val="2"/>
          </rPr>
          <t xml:space="preserve">FY2019: No EAI reclassification</t>
        </r>
      </text>
    </comment>
    <comment ref="B68" authorId="0">
      <text>
        <r>
          <rPr>
            <sz val="10"/>
            <rFont val="Arial"/>
            <family val="2"/>
          </rPr>
          <t xml:space="preserve">FY2019: = IFRS NOI</t>
        </r>
      </text>
    </comment>
    <comment ref="B70" authorId="0">
      <text>
        <r>
          <rPr>
            <sz val="10"/>
            <rFont val="Arial"/>
            <family val="2"/>
          </rPr>
          <t xml:space="preserve">FY2020 AR, MD&amp;A p.53 — FY2019 run rate</t>
        </r>
      </text>
    </comment>
    <comment ref="B73" authorId="0">
      <text>
        <r>
          <rPr>
            <sz val="10"/>
            <rFont val="Arial"/>
            <family val="2"/>
          </rPr>
          <t xml:space="preserve">FY2020 AR — FY2019</t>
        </r>
      </text>
    </comment>
    <comment ref="B107" authorId="0">
      <text>
        <r>
          <rPr>
            <sz val="10"/>
            <rFont val="Arial"/>
            <family val="2"/>
          </rPr>
          <t xml:space="preserve">FY2020 AR MD&amp;A p.58 — FY2019 comp</t>
        </r>
      </text>
    </comment>
    <comment ref="B131" authorId="0">
      <text>
        <r>
          <rPr>
            <sz val="10"/>
            <rFont val="Arial"/>
            <family val="2"/>
          </rPr>
          <t xml:space="preserve">FY2020 AR — FY2019</t>
        </r>
      </text>
    </comment>
    <comment ref="B140" authorId="0">
      <text>
        <r>
          <rPr>
            <sz val="10"/>
            <rFont val="Arial"/>
            <family val="2"/>
          </rPr>
          <t xml:space="preserve">FY2020 AR CFS — FY2019 "Investment property improvements"</t>
        </r>
      </text>
    </comment>
    <comment ref="B145" authorId="0">
      <text>
        <r>
          <rPr>
            <sz val="10"/>
            <rFont val="Arial"/>
            <family val="2"/>
          </rPr>
          <t xml:space="preserve">FY2020 AR p.39 FS — Dec 31, 2019</t>
        </r>
      </text>
    </comment>
    <comment ref="B146" authorId="0">
      <text>
        <r>
          <rPr>
            <sz val="10"/>
            <rFont val="Arial"/>
            <family val="2"/>
          </rPr>
          <t xml:space="preserve">FY2020 AR p.39 FS — Dec 31, 2019</t>
        </r>
      </text>
    </comment>
    <comment ref="B147" authorId="0">
      <text>
        <r>
          <rPr>
            <sz val="10"/>
            <rFont val="Arial"/>
            <family val="2"/>
          </rPr>
          <t xml:space="preserve">FY2020 AR p.39 FS — Dec 31, 2019</t>
        </r>
      </text>
    </comment>
    <comment ref="B148" authorId="0">
      <text>
        <r>
          <rPr>
            <sz val="10"/>
            <rFont val="Arial"/>
            <family val="2"/>
          </rPr>
          <t xml:space="preserve">FY2020 AR p.39 FS — Dec 31, 2019</t>
        </r>
      </text>
    </comment>
    <comment ref="B149" authorId="0">
      <text>
        <r>
          <rPr>
            <sz val="10"/>
            <rFont val="Arial"/>
            <family val="2"/>
          </rPr>
          <t xml:space="preserve">FY2020 AR p.39 FS — Dec 31, 2019</t>
        </r>
      </text>
    </comment>
    <comment ref="B151" authorId="0">
      <text>
        <r>
          <rPr>
            <sz val="10"/>
            <rFont val="Arial"/>
            <family val="2"/>
          </rPr>
          <t xml:space="preserve">FY2020 AR p.39 — 91,570,169</t>
        </r>
      </text>
    </comment>
    <comment ref="B185" authorId="0">
      <text>
        <r>
          <rPr>
            <sz val="10"/>
            <rFont val="Arial"/>
            <family val="2"/>
          </rPr>
          <t xml:space="preserve">FY2020 AR — approx 50,000 M units FY2019</t>
        </r>
      </text>
    </comment>
    <comment ref="B188" authorId="0">
      <text>
        <r>
          <rPr>
            <sz val="10"/>
            <rFont val="Arial"/>
            <family val="2"/>
          </rPr>
          <t xml:space="preserve">No M redemptions FY2019</t>
        </r>
      </text>
    </comment>
    <comment ref="B189" authorId="0">
      <text>
        <r>
          <rPr>
            <sz val="10"/>
            <rFont val="Arial"/>
            <family val="2"/>
          </rPr>
          <t xml:space="preserve">FY2019 — no extraction</t>
        </r>
      </text>
    </comment>
    <comment ref="B198" authorId="0">
      <text>
        <r>
          <rPr>
            <sz val="10"/>
            <rFont val="Arial"/>
            <family val="2"/>
          </rPr>
          <t xml:space="preserve">Beginning</t>
        </r>
      </text>
    </comment>
    <comment ref="C8" authorId="0">
      <text>
        <r>
          <rPr>
            <sz val="10"/>
            <rFont val="Arial"/>
            <family val="2"/>
          </rPr>
          <t xml:space="preserve">FY2020 AR, Note 13 p.35 — Rental income (FY2020 prior yr)</t>
        </r>
      </text>
    </comment>
    <comment ref="C9" authorId="0">
      <text>
        <r>
          <rPr>
            <sz val="10"/>
            <rFont val="Arial"/>
            <family val="2"/>
          </rPr>
          <t xml:space="preserve">FY2020 AR, Note 13 p.35 (FY2020 prior yr)</t>
        </r>
      </text>
    </comment>
    <comment ref="C10" authorId="0">
      <text>
        <r>
          <rPr>
            <sz val="10"/>
            <rFont val="Arial"/>
            <family val="2"/>
          </rPr>
          <t xml:space="preserve">FY2020 AR — implied: $123,372 - $117,221 - $5,270 = $881</t>
        </r>
      </text>
    </comment>
    <comment ref="C12" authorId="0">
      <text>
        <r>
          <rPr>
            <sz val="10"/>
            <rFont val="Arial"/>
            <family val="2"/>
          </rPr>
          <t xml:space="preserve">FY2020 AR, MD&amp;A p.22 — $123,372 + $4,291 EAI revenue</t>
        </r>
      </text>
    </comment>
    <comment ref="C15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21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22" authorId="0">
      <text>
        <r>
          <rPr>
            <sz val="10"/>
            <rFont val="Arial"/>
            <family val="2"/>
          </rPr>
          <t xml:space="preserve">FY2020 AR, IS p.7 FS — recovery</t>
        </r>
      </text>
    </comment>
    <comment ref="C23" authorId="0">
      <text>
        <r>
          <rPr>
            <sz val="10"/>
            <rFont val="Arial"/>
            <family val="2"/>
          </rPr>
          <t xml:space="preserve">FY2020 AR, IS p.7 FS — combined line</t>
        </r>
      </text>
    </comment>
    <comment ref="C24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25" authorId="0">
      <text>
        <r>
          <rPr>
            <sz val="10"/>
            <rFont val="Arial"/>
            <family val="2"/>
          </rPr>
          <t xml:space="preserve">FY2020 AR, IS p.7 FS, Note 15 — Mtg+CF $26,352 + Amort $1,602 + CMHC $863</t>
        </r>
      </text>
    </comment>
    <comment ref="C26" authorId="0">
      <text>
        <r>
          <rPr>
            <sz val="10"/>
            <rFont val="Arial"/>
            <family val="2"/>
          </rPr>
          <t xml:space="preserve">FY2020 AR, Note 15 — "Other income and expenses" ($6,650). Trailer portion not separately split. Using total.</t>
        </r>
      </text>
    </comment>
    <comment ref="C27" authorId="0">
      <text>
        <r>
          <rPr>
            <sz val="10"/>
            <rFont val="Arial"/>
            <family val="2"/>
          </rPr>
          <t xml:space="preserve">FY2020: Total "Other" line is ($6,650), all attributed to trailers above. Residual = $0</t>
        </r>
      </text>
    </comment>
    <comment ref="C29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30" authorId="0">
      <text>
        <r>
          <rPr>
            <sz val="10"/>
            <rFont val="Arial"/>
            <family val="2"/>
          </rPr>
          <t xml:space="preserve">FY2020 AR, IS p.7 FS, Note 16</t>
        </r>
      </text>
    </comment>
    <comment ref="C31" authorId="0">
      <text>
        <r>
          <rPr>
            <sz val="10"/>
            <rFont val="Arial"/>
            <family val="2"/>
          </rPr>
          <t xml:space="preserve">FY2020: No AMF</t>
        </r>
      </text>
    </comment>
    <comment ref="C32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35" authorId="0">
      <text>
        <r>
          <rPr>
            <sz val="10"/>
            <rFont val="Arial"/>
            <family val="2"/>
          </rPr>
          <t xml:space="preserve">FY2020 AR, Note 20 p.41</t>
        </r>
      </text>
    </comment>
    <comment ref="C36" authorId="0">
      <text>
        <r>
          <rPr>
            <sz val="10"/>
            <rFont val="Arial"/>
            <family val="2"/>
          </rPr>
          <t xml:space="preserve">FY2020 AR, Note 20 p.41</t>
        </r>
      </text>
    </comment>
    <comment ref="C40" authorId="0">
      <text>
        <r>
          <rPr>
            <sz val="10"/>
            <rFont val="Arial"/>
            <family val="2"/>
          </rPr>
          <t xml:space="preserve">FY2020 AR, IS p.7 FS</t>
        </r>
      </text>
    </comment>
    <comment ref="C42" authorId="0">
      <text>
        <r>
          <rPr>
            <sz val="10"/>
            <rFont val="Arial"/>
            <family val="2"/>
          </rPr>
          <t xml:space="preserve">FY2020 AR, MD&amp;A p.3/p.58</t>
        </r>
      </text>
    </comment>
    <comment ref="C46" authorId="0">
      <text>
        <r>
          <rPr>
            <sz val="10"/>
            <rFont val="Arial"/>
            <family val="2"/>
          </rPr>
          <t xml:space="preserve">FY2020 AR, Note 15 p.40</t>
        </r>
      </text>
    </comment>
    <comment ref="C49" authorId="0">
      <text>
        <r>
          <rPr>
            <sz val="10"/>
            <rFont val="Arial"/>
            <family val="2"/>
          </rPr>
          <t xml:space="preserve">FY2020 AR, Note 15 p.40</t>
        </r>
      </text>
    </comment>
    <comment ref="C50" authorId="0">
      <text>
        <r>
          <rPr>
            <sz val="10"/>
            <rFont val="Arial"/>
            <family val="2"/>
          </rPr>
          <t xml:space="preserve">FY2020 AR, Note 15 p.40</t>
        </r>
      </text>
    </comment>
    <comment ref="C53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4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5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6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7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8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59" authorId="0">
      <text>
        <r>
          <rPr>
            <sz val="10"/>
            <rFont val="Arial"/>
            <family val="2"/>
          </rPr>
          <t xml:space="preserve">FY2020 AR, Note 16 p.40</t>
        </r>
      </text>
    </comment>
    <comment ref="C62" authorId="0">
      <text>
        <r>
          <rPr>
            <sz val="10"/>
            <rFont val="Arial"/>
            <family val="2"/>
          </rPr>
          <t xml:space="preserve">FY2020 AR, Note 4 p.21 — IP FV adjustment</t>
        </r>
      </text>
    </comment>
    <comment ref="C66" authorId="0">
      <text>
        <r>
          <rPr>
            <sz val="10"/>
            <rFont val="Arial"/>
            <family val="2"/>
          </rPr>
          <t xml:space="preserve">FY2020 AR, MD&amp;A p.22</t>
        </r>
      </text>
    </comment>
    <comment ref="C68" authorId="0">
      <text>
        <r>
          <rPr>
            <sz val="10"/>
            <rFont val="Arial"/>
            <family val="2"/>
          </rPr>
          <t xml:space="preserve">FY2020 AR, MD&amp;A p.22</t>
        </r>
      </text>
    </comment>
    <comment ref="C70" authorId="0">
      <text>
        <r>
          <rPr>
            <sz val="10"/>
            <rFont val="Arial"/>
            <family val="2"/>
          </rPr>
          <t xml:space="preserve">FY2020 AR, MD&amp;A p.53</t>
        </r>
      </text>
    </comment>
    <comment ref="C73" authorId="0">
      <text>
        <r>
          <rPr>
            <sz val="10"/>
            <rFont val="Arial"/>
            <family val="2"/>
          </rPr>
          <t xml:space="preserve">FY2020 AR, MD&amp;A p.58</t>
        </r>
      </text>
    </comment>
    <comment ref="C74" authorId="0">
      <text>
        <r>
          <rPr>
            <sz val="10"/>
            <rFont val="Arial"/>
            <family val="2"/>
          </rPr>
          <t xml:space="preserve">FY2020 AR, MD&amp;A p.58</t>
        </r>
      </text>
    </comment>
    <comment ref="C80" authorId="0">
      <text>
        <r>
          <rPr>
            <sz val="10"/>
            <rFont val="Arial"/>
            <family val="2"/>
          </rPr>
          <t xml:space="preserve">FY2020 AR p.56 — SS NOI growth 1.23%</t>
        </r>
      </text>
    </comment>
    <comment ref="C107" authorId="0">
      <text>
        <r>
          <rPr>
            <sz val="10"/>
            <rFont val="Arial"/>
            <family val="2"/>
          </rPr>
          <t xml:space="preserve">FY2020 AR MD&amp;A p.58</t>
        </r>
      </text>
    </comment>
    <comment ref="C131" authorId="0">
      <text>
        <r>
          <rPr>
            <sz val="10"/>
            <rFont val="Arial"/>
            <family val="2"/>
          </rPr>
          <t xml:space="preserve">FY2020 AR, St. of Changes</t>
        </r>
      </text>
    </comment>
    <comment ref="C140" authorId="0">
      <text>
        <r>
          <rPr>
            <sz val="10"/>
            <rFont val="Arial"/>
            <family val="2"/>
          </rPr>
          <t xml:space="preserve">FY2020 AR CFS p.9</t>
        </r>
      </text>
    </comment>
    <comment ref="C145" authorId="0">
      <text>
        <r>
          <rPr>
            <sz val="10"/>
            <rFont val="Arial"/>
            <family val="2"/>
          </rPr>
          <t xml:space="preserve">FY2020 AR p.39 FS</t>
        </r>
      </text>
    </comment>
    <comment ref="C146" authorId="0">
      <text>
        <r>
          <rPr>
            <sz val="10"/>
            <rFont val="Arial"/>
            <family val="2"/>
          </rPr>
          <t xml:space="preserve">FY2020 AR p.39 FS</t>
        </r>
      </text>
    </comment>
    <comment ref="C147" authorId="0">
      <text>
        <r>
          <rPr>
            <sz val="10"/>
            <rFont val="Arial"/>
            <family val="2"/>
          </rPr>
          <t xml:space="preserve">FY2020 AR p.39 FS</t>
        </r>
      </text>
    </comment>
    <comment ref="C148" authorId="0">
      <text>
        <r>
          <rPr>
            <sz val="10"/>
            <rFont val="Arial"/>
            <family val="2"/>
          </rPr>
          <t xml:space="preserve">FY2020 AR Note 19</t>
        </r>
      </text>
    </comment>
    <comment ref="C149" authorId="0">
      <text>
        <r>
          <rPr>
            <sz val="10"/>
            <rFont val="Arial"/>
            <family val="2"/>
          </rPr>
          <t xml:space="preserve">FY2020 AR p.39 FS</t>
        </r>
      </text>
    </comment>
    <comment ref="C159" authorId="0">
      <text>
        <r>
          <rPr>
            <sz val="10"/>
            <rFont val="Arial"/>
            <family val="2"/>
          </rPr>
          <t xml:space="preserve">FY2020 AR Note 4 p.21</t>
        </r>
      </text>
    </comment>
    <comment ref="C161" authorId="0">
      <text>
        <r>
          <rPr>
            <sz val="10"/>
            <rFont val="Arial"/>
            <family val="2"/>
          </rPr>
          <t xml:space="preserve">FY2020 AR</t>
        </r>
      </text>
    </comment>
    <comment ref="C185" authorId="0">
      <text>
        <r>
          <rPr>
            <sz val="10"/>
            <rFont val="Arial"/>
            <family val="2"/>
          </rPr>
          <t xml:space="preserve">FY2020 AR Note 19 — 19,124 M units Dec 31, 2020</t>
        </r>
      </text>
    </comment>
    <comment ref="C188" authorId="0">
      <text>
        <r>
          <rPr>
            <sz val="10"/>
            <rFont val="Arial"/>
            <family val="2"/>
          </rPr>
          <t xml:space="preserve">FY2020 AR — ~30,876 redeemed for $50,000 (cumulative)</t>
        </r>
      </text>
    </comment>
    <comment ref="C189" authorId="0">
      <text>
        <r>
          <rPr>
            <sz val="10"/>
            <rFont val="Arial"/>
            <family val="2"/>
          </rPr>
          <t xml:space="preserve">FY2020 AR Note 19 — $50,000 cumulative M redemptions</t>
        </r>
      </text>
    </comment>
    <comment ref="D8" authorId="0">
      <text>
        <r>
          <rPr>
            <sz val="10"/>
            <rFont val="Arial"/>
            <family val="2"/>
          </rPr>
          <t xml:space="preserve">FY2021 AR, Note 13 p.35 — Rental income</t>
        </r>
      </text>
    </comment>
    <comment ref="D9" authorId="0">
      <text>
        <r>
          <rPr>
            <sz val="10"/>
            <rFont val="Arial"/>
            <family val="2"/>
          </rPr>
          <t xml:space="preserve">FY2021 AR, Note 13 p.35</t>
        </r>
      </text>
    </comment>
    <comment ref="D10" authorId="0">
      <text>
        <r>
          <rPr>
            <sz val="10"/>
            <rFont val="Arial"/>
            <family val="2"/>
          </rPr>
          <t xml:space="preserve">FY2021 AR, Note 13 p.35 — Expense recoveries $1,183</t>
        </r>
      </text>
    </comment>
    <comment ref="D12" authorId="0">
      <text>
        <r>
          <rPr>
            <sz val="10"/>
            <rFont val="Arial"/>
            <family val="2"/>
          </rPr>
          <t xml:space="preserve">FY2021 AR, MD&amp;A p.22 — $154,983 + $9,760 EAI revenue</t>
        </r>
      </text>
    </comment>
    <comment ref="D15" authorId="0">
      <text>
        <r>
          <rPr>
            <sz val="10"/>
            <rFont val="Arial"/>
            <family val="2"/>
          </rPr>
          <t xml:space="preserve">FY2021 AR, IS p.7 FS</t>
        </r>
      </text>
    </comment>
    <comment ref="D21" authorId="0">
      <text>
        <r>
          <rPr>
            <sz val="10"/>
            <rFont val="Arial"/>
            <family val="2"/>
          </rPr>
          <t xml:space="preserve">FY2021 AR, IS p.7 FS, Note 6</t>
        </r>
      </text>
    </comment>
    <comment ref="D22" authorId="0">
      <text>
        <r>
          <rPr>
            <sz val="10"/>
            <rFont val="Arial"/>
            <family val="2"/>
          </rPr>
          <t xml:space="preserve">FY2021 AR, IS p.7 FS — recovery</t>
        </r>
      </text>
    </comment>
    <comment ref="D23" authorId="0">
      <text>
        <r>
          <rPr>
            <sz val="10"/>
            <rFont val="Arial"/>
            <family val="2"/>
          </rPr>
          <t xml:space="preserve">FY2021: Large number includes $58,673 of FV gains within EAI per Note 5 rollforward + operational. Combined IS line.</t>
        </r>
      </text>
    </comment>
    <comment ref="D24" authorId="0">
      <text>
        <r>
          <rPr>
            <sz val="10"/>
            <rFont val="Arial"/>
            <family val="2"/>
          </rPr>
          <t xml:space="preserve">FY2021 AR, IS p.7 FS — "Net fair value gains". Note 4: IP $132,315 + PLI ($7,588)</t>
        </r>
      </text>
    </comment>
    <comment ref="D25" authorId="0">
      <text>
        <r>
          <rPr>
            <sz val="10"/>
            <rFont val="Arial"/>
            <family val="2"/>
          </rPr>
          <t xml:space="preserve">FY2021 AR, IS p.7 FS, Note 14 — Mtg+CF $34,624 + Amort $1,613 + CMHC $1,460</t>
        </r>
      </text>
    </comment>
    <comment ref="D26" authorId="0">
      <text>
        <r>
          <rPr>
            <sz val="10"/>
            <rFont val="Arial"/>
            <family val="2"/>
          </rPr>
          <t xml:space="preserve">FY2021 AR, Note 15 p.36 — "Trailer Fees and Other" ($8,376). Note: FFO recon uses $9,656 which includes cap raising costs in G&amp;A.</t>
        </r>
      </text>
    </comment>
    <comment ref="D27" authorId="0">
      <text>
        <r>
          <rPr>
            <sz val="10"/>
            <rFont val="Arial"/>
            <family val="2"/>
          </rPr>
          <t xml:space="preserve">FY2021 AR, Note 15 p.36 — Bond futures gain $13,346. IS "Other" net $4,970 = ($8,376 trailers) + $13,346</t>
        </r>
      </text>
    </comment>
    <comment ref="D29" authorId="0">
      <text>
        <r>
          <rPr>
            <sz val="10"/>
            <rFont val="Arial"/>
            <family val="2"/>
          </rPr>
          <t xml:space="preserve">FY2021 AR, IS p.7 FS</t>
        </r>
      </text>
    </comment>
    <comment ref="D30" authorId="0">
      <text>
        <r>
          <rPr>
            <sz val="10"/>
            <rFont val="Arial"/>
            <family val="2"/>
          </rPr>
          <t xml:space="preserve">FY2021 AR, IS p.7 FS, Note 16</t>
        </r>
      </text>
    </comment>
    <comment ref="D31" authorId="0">
      <text>
        <r>
          <rPr>
            <sz val="10"/>
            <rFont val="Arial"/>
            <family val="2"/>
          </rPr>
          <t xml:space="preserve">FY2021: No AMF. CAMI earned via Class M carry + acquisition fees</t>
        </r>
      </text>
    </comment>
    <comment ref="D32" authorId="0">
      <text>
        <r>
          <rPr>
            <sz val="10"/>
            <rFont val="Arial"/>
            <family val="2"/>
          </rPr>
          <t xml:space="preserve">FY2021 AR, IS p.7 FS</t>
        </r>
      </text>
    </comment>
    <comment ref="D35" authorId="0">
      <text>
        <r>
          <rPr>
            <sz val="10"/>
            <rFont val="Arial"/>
            <family val="2"/>
          </rPr>
          <t xml:space="preserve">FY2021 AR, Note 20 p.38</t>
        </r>
      </text>
    </comment>
    <comment ref="D36" authorId="0">
      <text>
        <r>
          <rPr>
            <sz val="10"/>
            <rFont val="Arial"/>
            <family val="2"/>
          </rPr>
          <t xml:space="preserve">FY2021 AR, Note 20 p.38 — expense</t>
        </r>
      </text>
    </comment>
    <comment ref="D40" authorId="0">
      <text>
        <r>
          <rPr>
            <sz val="10"/>
            <rFont val="Arial"/>
            <family val="2"/>
          </rPr>
          <t xml:space="preserve">FY2021 AR, IS p.7 FS</t>
        </r>
      </text>
    </comment>
    <comment ref="D42" authorId="0">
      <text>
        <r>
          <rPr>
            <sz val="10"/>
            <rFont val="Arial"/>
            <family val="2"/>
          </rPr>
          <t xml:space="preserve">FY2021 AR, MD&amp;A p.3</t>
        </r>
      </text>
    </comment>
    <comment ref="D46" authorId="0">
      <text>
        <r>
          <rPr>
            <sz val="10"/>
            <rFont val="Arial"/>
            <family val="2"/>
          </rPr>
          <t xml:space="preserve">FY2021 AR, Note 14 p.35 — "Interest on mortgages payable and credit facilities"</t>
        </r>
      </text>
    </comment>
    <comment ref="D49" authorId="0">
      <text>
        <r>
          <rPr>
            <sz val="10"/>
            <rFont val="Arial"/>
            <family val="2"/>
          </rPr>
          <t xml:space="preserve">FY2021 AR, Note 14 p.35</t>
        </r>
      </text>
    </comment>
    <comment ref="D50" authorId="0">
      <text>
        <r>
          <rPr>
            <sz val="10"/>
            <rFont val="Arial"/>
            <family val="2"/>
          </rPr>
          <t xml:space="preserve">FY2021 AR, Note 14 p.35</t>
        </r>
      </text>
    </comment>
    <comment ref="D53" authorId="0">
      <text>
        <r>
          <rPr>
            <sz val="10"/>
            <rFont val="Arial"/>
            <family val="2"/>
          </rPr>
          <t xml:space="preserve">FY2021: FY2022 AR Note 16 p.172 comparative — Salaries $16,725 (unchanged)</t>
        </r>
      </text>
    </comment>
    <comment ref="D54" authorId="0">
      <text>
        <r>
          <rPr>
            <sz val="10"/>
            <rFont val="Arial"/>
            <family val="2"/>
          </rPr>
          <t xml:space="preserve">FY2021: FY2022 AR Note 16 p.172 comparative — Comms $2,346 (unchanged)</t>
        </r>
      </text>
    </comment>
    <comment ref="D55" authorId="0">
      <text>
        <r>
          <rPr>
            <sz val="10"/>
            <rFont val="Arial"/>
            <family val="2"/>
          </rPr>
          <t xml:space="preserve">FY2021: FY2022 AR Note 16 p.172 comparative — Office $2,512 (restated from $1,917 in FY2021 AR)</t>
        </r>
      </text>
    </comment>
    <comment ref="D56" authorId="0">
      <text>
        <r>
          <rPr>
            <sz val="10"/>
            <rFont val="Arial"/>
            <family val="2"/>
          </rPr>
          <t xml:space="preserve">FY2021: FY2022 AR Note 16 p.172 comparative — Fund admin $1,661 (restated from $998 in FY2021 AR)</t>
        </r>
      </text>
    </comment>
    <comment ref="D57" authorId="0">
      <text>
        <r>
          <rPr>
            <sz val="10"/>
            <rFont val="Arial"/>
            <family val="2"/>
          </rPr>
          <t xml:space="preserve">FY2021: FY2022 AR Note 16 p.172 comparative — Professional $3,093 (restated from $2,899 in FY2021 AR)</t>
        </r>
      </text>
    </comment>
    <comment ref="D58" authorId="0">
      <text>
        <r>
          <rPr>
            <sz val="10"/>
            <rFont val="Arial"/>
            <family val="2"/>
          </rPr>
          <t xml:space="preserve">FY2021: FY2022 AR Note 16 p.172 comparative — Advertising $1,816 (restated from $2,268 in FY2021 AR)</t>
        </r>
      </text>
    </comment>
    <comment ref="D59" authorId="0">
      <text>
        <r>
          <rPr>
            <sz val="10"/>
            <rFont val="Arial"/>
            <family val="2"/>
          </rPr>
          <t xml:space="preserve">FY2021: FY2022 AR Note 16 p.172 comparative — Amort PP&amp;E $922 (unchanged)</t>
        </r>
      </text>
    </comment>
    <comment ref="D62" authorId="0">
      <text>
        <r>
          <rPr>
            <sz val="10"/>
            <rFont val="Arial"/>
            <family val="2"/>
          </rPr>
          <t xml:space="preserve">FY2021 AR, Note 4 p.19 — IP FV adjustment</t>
        </r>
      </text>
    </comment>
    <comment ref="D66" authorId="0">
      <text>
        <r>
          <rPr>
            <sz val="10"/>
            <rFont val="Arial"/>
            <family val="2"/>
          </rPr>
          <t xml:space="preserve">FY2021 AR, MD&amp;A p.22</t>
        </r>
      </text>
    </comment>
    <comment ref="D68" authorId="0">
      <text>
        <r>
          <rPr>
            <sz val="10"/>
            <rFont val="Arial"/>
            <family val="2"/>
          </rPr>
          <t xml:space="preserve">FY2021 AR, MD&amp;A p.22</t>
        </r>
      </text>
    </comment>
    <comment ref="D70" authorId="0">
      <text>
        <r>
          <rPr>
            <sz val="10"/>
            <rFont val="Arial"/>
            <family val="2"/>
          </rPr>
          <t xml:space="preserve">FY2021 AR, MD&amp;A p.41</t>
        </r>
      </text>
    </comment>
    <comment ref="D73" authorId="0">
      <text>
        <r>
          <rPr>
            <sz val="10"/>
            <rFont val="Arial"/>
            <family val="2"/>
          </rPr>
          <t xml:space="preserve">FY2021 AR, MD&amp;A p.58</t>
        </r>
      </text>
    </comment>
    <comment ref="D74" authorId="0">
      <text>
        <r>
          <rPr>
            <sz val="10"/>
            <rFont val="Arial"/>
            <family val="2"/>
          </rPr>
          <t xml:space="preserve">FY2021 AR, MD&amp;A p.58</t>
        </r>
      </text>
    </comment>
    <comment ref="D80" authorId="0">
      <text>
        <r>
          <rPr>
            <sz val="10"/>
            <rFont val="Arial"/>
            <family val="2"/>
          </rPr>
          <t xml:space="preserve">FY2021 AR p.56 — SS NOI total declined 0.5%</t>
        </r>
      </text>
    </comment>
    <comment ref="D107" authorId="0">
      <text>
        <r>
          <rPr>
            <sz val="10"/>
            <rFont val="Arial"/>
            <family val="2"/>
          </rPr>
          <t xml:space="preserve">FY2021 AR MD&amp;A p.58. Note: FY2022 AR comp shows $93,311 — using original filing.</t>
        </r>
      </text>
    </comment>
    <comment ref="D109" authorId="0">
      <text>
        <r>
          <rPr>
            <sz val="10"/>
            <rFont val="Arial"/>
            <family val="2"/>
          </rPr>
          <t xml:space="preserve">FY2021: Per FFO recon p.58. Note: IS trailer is $8,376; FFO recon uses $9,656 incl cap raising.</t>
        </r>
      </text>
    </comment>
    <comment ref="D131" authorId="0">
      <text>
        <r>
          <rPr>
            <sz val="10"/>
            <rFont val="Arial"/>
            <family val="2"/>
          </rPr>
          <t xml:space="preserve">FY2021 AR, St. of Changes</t>
        </r>
      </text>
    </comment>
    <comment ref="D140" authorId="0">
      <text>
        <r>
          <rPr>
            <sz val="10"/>
            <rFont val="Arial"/>
            <family val="2"/>
          </rPr>
          <t xml:space="preserve">FY2021 AR CFS p.9</t>
        </r>
      </text>
    </comment>
    <comment ref="D145" authorId="0">
      <text>
        <r>
          <rPr>
            <sz val="10"/>
            <rFont val="Arial"/>
            <family val="2"/>
          </rPr>
          <t xml:space="preserve">FY2022 AR — FY2021 EoY</t>
        </r>
      </text>
    </comment>
    <comment ref="D146" authorId="0">
      <text>
        <r>
          <rPr>
            <sz val="10"/>
            <rFont val="Arial"/>
            <family val="2"/>
          </rPr>
          <t xml:space="preserve">FY2022 AR</t>
        </r>
      </text>
    </comment>
    <comment ref="D147" authorId="0">
      <text>
        <r>
          <rPr>
            <sz val="10"/>
            <rFont val="Arial"/>
            <family val="2"/>
          </rPr>
          <t xml:space="preserve">FY2021 AR p.59</t>
        </r>
      </text>
    </comment>
    <comment ref="D148" authorId="0">
      <text>
        <r>
          <rPr>
            <sz val="10"/>
            <rFont val="Arial"/>
            <family val="2"/>
          </rPr>
          <t xml:space="preserve">FY2021 AR Note 19</t>
        </r>
      </text>
    </comment>
    <comment ref="D149" authorId="0">
      <text>
        <r>
          <rPr>
            <sz val="10"/>
            <rFont val="Arial"/>
            <family val="2"/>
          </rPr>
          <t xml:space="preserve">FY2021 AR p.59</t>
        </r>
      </text>
    </comment>
    <comment ref="D159" authorId="0">
      <text>
        <r>
          <rPr>
            <sz val="10"/>
            <rFont val="Arial"/>
            <family val="2"/>
          </rPr>
          <t xml:space="preserve">FY2021 AR Note 4</t>
        </r>
      </text>
    </comment>
    <comment ref="D161" authorId="0">
      <text>
        <r>
          <rPr>
            <sz val="10"/>
            <rFont val="Arial"/>
            <family val="2"/>
          </rPr>
          <t xml:space="preserve">FY2021 AR Note 7</t>
        </r>
      </text>
    </comment>
    <comment ref="D185" authorId="0">
      <text>
        <r>
          <rPr>
            <sz val="10"/>
            <rFont val="Arial"/>
            <family val="2"/>
          </rPr>
          <t xml:space="preserve">FY2021 AR — carried forward</t>
        </r>
      </text>
    </comment>
    <comment ref="D188" authorId="0">
      <text>
        <r>
          <rPr>
            <sz val="10"/>
            <rFont val="Arial"/>
            <family val="2"/>
          </rPr>
          <t xml:space="preserve">FY2021 — approx 6,000 redeemed</t>
        </r>
      </text>
    </comment>
    <comment ref="D189" authorId="0">
      <text>
        <r>
          <rPr>
            <sz val="10"/>
            <rFont val="Arial"/>
            <family val="2"/>
          </rPr>
          <t xml:space="preserve">FY2021 — no disclosure of additional extraction. Known: $50K cumulative by FY2020.</t>
        </r>
      </text>
    </comment>
    <comment ref="E8" authorId="0">
      <text>
        <r>
          <rPr>
            <sz val="10"/>
            <rFont val="Arial"/>
            <family val="2"/>
          </rPr>
          <t xml:space="preserve">FY2022 AR, p.172 — Rental income</t>
        </r>
      </text>
    </comment>
    <comment ref="E9" authorId="0">
      <text>
        <r>
          <rPr>
            <sz val="10"/>
            <rFont val="Arial"/>
            <family val="2"/>
          </rPr>
          <t xml:space="preserve">FY2022 AR, p.172</t>
        </r>
      </text>
    </comment>
    <comment ref="E10" authorId="0">
      <text>
        <r>
          <rPr>
            <sz val="10"/>
            <rFont val="Arial"/>
            <family val="2"/>
          </rPr>
          <t xml:space="preserve">FY2022 AR, p.172 — implied: $248,158 - $234,995 - $11,709 = $1,454</t>
        </r>
      </text>
    </comment>
    <comment ref="E12" authorId="0">
      <text>
        <r>
          <rPr>
            <sz val="10"/>
            <rFont val="Arial"/>
            <family val="2"/>
          </rPr>
          <t xml:space="preserve">FY2022 AR, MD&amp;A p.23 — management basis</t>
        </r>
      </text>
    </comment>
    <comment ref="E15" authorId="0">
      <text>
        <r>
          <rPr>
            <sz val="10"/>
            <rFont val="Arial"/>
            <family val="2"/>
          </rPr>
          <t xml:space="preserve">FY2022 AR, IS p.144</t>
        </r>
      </text>
    </comment>
    <comment ref="E21" authorId="0">
      <text>
        <r>
          <rPr>
            <sz val="10"/>
            <rFont val="Arial"/>
            <family val="2"/>
          </rPr>
          <t xml:space="preserve">FY2022 AR, IS p.144, Note 6</t>
        </r>
      </text>
    </comment>
    <comment ref="E22" authorId="0">
      <text>
        <r>
          <rPr>
            <sz val="10"/>
            <rFont val="Arial"/>
            <family val="2"/>
          </rPr>
          <t xml:space="preserve">FY2022 AR, IS p.144</t>
        </r>
      </text>
    </comment>
    <comment ref="E23" authorId="0">
      <text>
        <r>
          <rPr>
            <sz val="10"/>
            <rFont val="Arial"/>
            <family val="2"/>
          </rPr>
          <t xml:space="preserve">FY2022: IS presents "FV gains &amp; income from equity accounted investments" as single line $13,244. Breakdown not available in this doc.</t>
        </r>
      </text>
    </comment>
    <comment ref="E24" authorId="0">
      <text>
        <r>
          <rPr>
            <sz val="10"/>
            <rFont val="Arial"/>
            <family val="2"/>
          </rPr>
          <t xml:space="preserve">FY2022 AR, IS p.144 — "Net fair value gains" $217,019. Note 16: IP $218,533 + PLI ($1,514)</t>
        </r>
      </text>
    </comment>
    <comment ref="E25" authorId="0">
      <text>
        <r>
          <rPr>
            <sz val="10"/>
            <rFont val="Arial"/>
            <family val="2"/>
          </rPr>
          <t xml:space="preserve">FY2022 AR, IS p.144, Note — Mtg+CF interest $63,463 + Amort fin fees $3,975 + Amort CMHC $2,868</t>
        </r>
      </text>
    </comment>
    <comment ref="E26" authorId="0">
      <text>
        <r>
          <rPr>
            <sz val="10"/>
            <rFont val="Arial"/>
            <family val="2"/>
          </rPr>
          <t xml:space="preserve">FY2022 AR, Note 15 p.172 — trailer fees within "Other"</t>
        </r>
      </text>
    </comment>
    <comment ref="E27" authorId="0">
      <text>
        <r>
          <rPr>
            <sz val="10"/>
            <rFont val="Arial"/>
            <family val="2"/>
          </rPr>
          <t xml:space="preserve">FY2022 AR — IS "Other" net ($5,875) + Trailer $11,469 = Other gains $5,594</t>
        </r>
      </text>
    </comment>
    <comment ref="E29" authorId="0">
      <text>
        <r>
          <rPr>
            <sz val="10"/>
            <rFont val="Arial"/>
            <family val="2"/>
          </rPr>
          <t xml:space="preserve">FY2022 AR, IS p.144</t>
        </r>
      </text>
    </comment>
    <comment ref="E30" authorId="0">
      <text>
        <r>
          <rPr>
            <sz val="10"/>
            <rFont val="Arial"/>
            <family val="2"/>
          </rPr>
          <t xml:space="preserve">FY2022 AR, IS p.144, Note 16</t>
        </r>
      </text>
    </comment>
    <comment ref="E31" authorId="0">
      <text>
        <r>
          <rPr>
            <sz val="10"/>
            <rFont val="Arial"/>
            <family val="2"/>
          </rPr>
          <t xml:space="preserve">FY2022: No separate AMF line on IS. CAMI earned via Class M carry + acquisition fees only</t>
        </r>
      </text>
    </comment>
    <comment ref="E32" authorId="0">
      <text>
        <r>
          <rPr>
            <sz val="10"/>
            <rFont val="Arial"/>
            <family val="2"/>
          </rPr>
          <t xml:space="preserve">FY2022 AR, IS p.144</t>
        </r>
      </text>
    </comment>
    <comment ref="E35" authorId="0">
      <text>
        <r>
          <rPr>
            <sz val="10"/>
            <rFont val="Arial"/>
            <family val="2"/>
          </rPr>
          <t xml:space="preserve">FY2022 AR, Note 20 p.174 — U.S. sub current tax</t>
        </r>
      </text>
    </comment>
    <comment ref="E36" authorId="0">
      <text>
        <r>
          <rPr>
            <sz val="10"/>
            <rFont val="Arial"/>
            <family val="2"/>
          </rPr>
          <t xml:space="preserve">FY2022 AR, Note 20 p.174 — recovery</t>
        </r>
      </text>
    </comment>
    <comment ref="E40" authorId="0">
      <text>
        <r>
          <rPr>
            <sz val="10"/>
            <rFont val="Arial"/>
            <family val="2"/>
          </rPr>
          <t xml:space="preserve">FY2022 AR, IS p.144</t>
        </r>
      </text>
    </comment>
    <comment ref="E42" authorId="0">
      <text>
        <r>
          <rPr>
            <sz val="10"/>
            <rFont val="Arial"/>
            <family val="2"/>
          </rPr>
          <t xml:space="preserve">FY2022 AR, MD&amp;A p.68</t>
        </r>
      </text>
    </comment>
    <comment ref="E46" authorId="0">
      <text>
        <r>
          <rPr>
            <sz val="10"/>
            <rFont val="Arial"/>
            <family val="2"/>
          </rPr>
          <t xml:space="preserve">FY2022 AR, Note — Mtg+CF combined. Split not available for FY2022.</t>
        </r>
      </text>
    </comment>
    <comment ref="E49" authorId="0">
      <text>
        <r>
          <rPr>
            <sz val="10"/>
            <rFont val="Arial"/>
            <family val="2"/>
          </rPr>
          <t xml:space="preserve">FY2022 AR, p.172</t>
        </r>
      </text>
    </comment>
    <comment ref="E50" authorId="0">
      <text>
        <r>
          <rPr>
            <sz val="10"/>
            <rFont val="Arial"/>
            <family val="2"/>
          </rPr>
          <t xml:space="preserve">FY2022 AR, p.172</t>
        </r>
      </text>
    </comment>
    <comment ref="E53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4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5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6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7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8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59" authorId="0">
      <text>
        <r>
          <rPr>
            <sz val="10"/>
            <rFont val="Arial"/>
            <family val="2"/>
          </rPr>
          <t xml:space="preserve">FY2022 AR, Note 16 p.172</t>
        </r>
      </text>
    </comment>
    <comment ref="E62" authorId="0">
      <text>
        <r>
          <rPr>
            <sz val="10"/>
            <rFont val="Arial"/>
            <family val="2"/>
          </rPr>
          <t xml:space="preserve">FY2022 AR, Note 16 p.157 — includes IP only</t>
        </r>
      </text>
    </comment>
    <comment ref="E66" authorId="0">
      <text>
        <r>
          <rPr>
            <sz val="10"/>
            <rFont val="Arial"/>
            <family val="2"/>
          </rPr>
          <t xml:space="preserve">FY2022 AR, MD&amp;A p.23 — $175,555 - $160,041</t>
        </r>
      </text>
    </comment>
    <comment ref="E68" authorId="0">
      <text>
        <r>
          <rPr>
            <sz val="10"/>
            <rFont val="Arial"/>
            <family val="2"/>
          </rPr>
          <t xml:space="preserve">FY2022 AR, MD&amp;A p.23</t>
        </r>
      </text>
    </comment>
    <comment ref="E70" authorId="0">
      <text>
        <r>
          <rPr>
            <sz val="10"/>
            <rFont val="Arial"/>
            <family val="2"/>
          </rPr>
          <t xml:space="preserve">FY2022 AR, MD&amp;A p.53</t>
        </r>
      </text>
    </comment>
    <comment ref="E73" authorId="0">
      <text>
        <r>
          <rPr>
            <sz val="10"/>
            <rFont val="Arial"/>
            <family val="2"/>
          </rPr>
          <t xml:space="preserve">FY2022 AR, MD&amp;A p.68</t>
        </r>
      </text>
    </comment>
    <comment ref="E74" authorId="0">
      <text>
        <r>
          <rPr>
            <sz val="10"/>
            <rFont val="Arial"/>
            <family val="2"/>
          </rPr>
          <t xml:space="preserve">FY2022 AR, MD&amp;A p.68</t>
        </r>
      </text>
    </comment>
    <comment ref="E80" authorId="0">
      <text>
        <r>
          <rPr>
            <sz val="10"/>
            <rFont val="Arial"/>
            <family val="2"/>
          </rPr>
          <t xml:space="preserve">FY2022: Estimated ~10%. Student +52%, Apt strong. Exact total not in extraction.</t>
        </r>
      </text>
    </comment>
    <comment ref="E107" authorId="0">
      <text>
        <r>
          <rPr>
            <sz val="10"/>
            <rFont val="Arial"/>
            <family val="2"/>
          </rPr>
          <t xml:space="preserve">FY2022 AR MD&amp;A p.68</t>
        </r>
      </text>
    </comment>
    <comment ref="E109" authorId="0">
      <text>
        <r>
          <rPr>
            <sz val="10"/>
            <rFont val="Arial"/>
            <family val="2"/>
          </rPr>
          <t xml:space="preserve">FY2022: Per FFO recon p.68</t>
        </r>
      </text>
    </comment>
    <comment ref="E131" authorId="0">
      <text>
        <r>
          <rPr>
            <sz val="10"/>
            <rFont val="Arial"/>
            <family val="2"/>
          </rPr>
          <t xml:space="preserve">FY2022 AR, St. of Changes</t>
        </r>
      </text>
    </comment>
    <comment ref="E140" authorId="0">
      <text>
        <r>
          <rPr>
            <sz val="10"/>
            <rFont val="Arial"/>
            <family val="2"/>
          </rPr>
          <t xml:space="preserve">FY2022 AR CFS p.146</t>
        </r>
      </text>
    </comment>
    <comment ref="E145" authorId="0">
      <text>
        <r>
          <rPr>
            <sz val="10"/>
            <rFont val="Arial"/>
            <family val="2"/>
          </rPr>
          <t xml:space="preserve">FY2022 AR — FY2022 EoY</t>
        </r>
      </text>
    </comment>
    <comment ref="E146" authorId="0">
      <text>
        <r>
          <rPr>
            <sz val="10"/>
            <rFont val="Arial"/>
            <family val="2"/>
          </rPr>
          <t xml:space="preserve">FY2022 AR</t>
        </r>
      </text>
    </comment>
    <comment ref="E147" authorId="0">
      <text>
        <r>
          <rPr>
            <sz val="10"/>
            <rFont val="Arial"/>
            <family val="2"/>
          </rPr>
          <t xml:space="preserve">FY2022 AR</t>
        </r>
      </text>
    </comment>
    <comment ref="E148" authorId="0">
      <text>
        <r>
          <rPr>
            <sz val="10"/>
            <rFont val="Arial"/>
            <family val="2"/>
          </rPr>
          <t xml:space="preserve">FY2022 AR p.173</t>
        </r>
      </text>
    </comment>
    <comment ref="E149" authorId="0">
      <text>
        <r>
          <rPr>
            <sz val="10"/>
            <rFont val="Arial"/>
            <family val="2"/>
          </rPr>
          <t xml:space="preserve">FY2022 AR</t>
        </r>
      </text>
    </comment>
    <comment ref="E159" authorId="0">
      <text>
        <r>
          <rPr>
            <sz val="10"/>
            <rFont val="Arial"/>
            <family val="2"/>
          </rPr>
          <t xml:space="preserve">FY2022 AR Note 16 p.157</t>
        </r>
      </text>
    </comment>
    <comment ref="E161" authorId="0">
      <text>
        <r>
          <rPr>
            <sz val="10"/>
            <rFont val="Arial"/>
            <family val="2"/>
          </rPr>
          <t xml:space="preserve">FY2022 AR Note 16</t>
        </r>
      </text>
    </comment>
    <comment ref="E185" authorId="0">
      <text>
        <r>
          <rPr>
            <sz val="10"/>
            <rFont val="Arial"/>
            <family val="2"/>
          </rPr>
          <t xml:space="preserve">FY2022 AR — 13,004</t>
        </r>
      </text>
    </comment>
    <comment ref="E188" authorId="0">
      <text>
        <r>
          <rPr>
            <sz val="10"/>
            <rFont val="Arial"/>
            <family val="2"/>
          </rPr>
          <t xml:space="preserve">FY2022 AR p.173 — 9,258 M units redeemed for $40,000</t>
        </r>
      </text>
    </comment>
    <comment ref="E189" authorId="0">
      <text>
        <r>
          <rPr>
            <sz val="10"/>
            <rFont val="Arial"/>
            <family val="2"/>
          </rPr>
          <t xml:space="preserve">FY2022 AR p.173 — $40,000 M unit redemption</t>
        </r>
      </text>
    </comment>
    <comment ref="F8" authorId="0">
      <text>
        <r>
          <rPr>
            <sz val="10"/>
            <rFont val="Arial"/>
            <family val="2"/>
          </rPr>
          <t xml:space="preserve">FY2023 AR, Note 12 — Rental income</t>
        </r>
      </text>
    </comment>
    <comment ref="F9" authorId="0">
      <text>
        <r>
          <rPr>
            <sz val="10"/>
            <rFont val="Arial"/>
            <family val="2"/>
          </rPr>
          <t xml:space="preserve">FY2023 AR, Note 12</t>
        </r>
      </text>
    </comment>
    <comment ref="F10" authorId="0">
      <text>
        <r>
          <rPr>
            <sz val="10"/>
            <rFont val="Arial"/>
            <family val="2"/>
          </rPr>
          <t xml:space="preserve">FY2023 AR, Note 12</t>
        </r>
      </text>
    </comment>
    <comment ref="F12" authorId="0">
      <text>
        <r>
          <rPr>
            <sz val="10"/>
            <rFont val="Arial"/>
            <family val="2"/>
          </rPr>
          <t xml:space="preserve">FY2023 AR, MD&amp;A — management basis</t>
        </r>
      </text>
    </comment>
    <comment ref="F15" authorId="0">
      <text>
        <r>
          <rPr>
            <sz val="10"/>
            <rFont val="Arial"/>
            <family val="2"/>
          </rPr>
          <t xml:space="preserve">FY2023 AR, IS p.2 FS</t>
        </r>
      </text>
    </comment>
    <comment ref="F21" authorId="0">
      <text>
        <r>
          <rPr>
            <sz val="10"/>
            <rFont val="Arial"/>
            <family val="2"/>
          </rPr>
          <t xml:space="preserve">FY2023 AR, IS p.2 FS, Note 6</t>
        </r>
      </text>
    </comment>
    <comment ref="F22" authorId="0">
      <text>
        <r>
          <rPr>
            <sz val="10"/>
            <rFont val="Arial"/>
            <family val="2"/>
          </rPr>
          <t xml:space="preserve">FY2023 AR, IS p.2 FS</t>
        </r>
      </text>
    </comment>
    <comment ref="F23" authorId="0">
      <text>
        <r>
          <rPr>
            <sz val="10"/>
            <rFont val="Arial"/>
            <family val="2"/>
          </rPr>
          <t xml:space="preserve">FY2023 AR, IS p.2 FS, Note 5</t>
        </r>
      </text>
    </comment>
    <comment ref="F24" authorId="0">
      <text>
        <r>
          <rPr>
            <sz val="10"/>
            <rFont val="Arial"/>
            <family val="2"/>
          </rPr>
          <t xml:space="preserve">FY2023 AR, IS p.2 FS. Breakdown: IP $124,271 + EAI IP ($2,226) + PLI ($2,520) + Carry ($16,400)</t>
        </r>
      </text>
    </comment>
    <comment ref="F25" authorId="0">
      <text>
        <r>
          <rPr>
            <sz val="10"/>
            <rFont val="Arial"/>
            <family val="2"/>
          </rPr>
          <t xml:space="preserve">FY2023 AR, IS p.2 FS</t>
        </r>
      </text>
    </comment>
    <comment ref="F26" authorId="0">
      <text>
        <r>
          <rPr>
            <sz val="10"/>
            <rFont val="Arial"/>
            <family val="2"/>
          </rPr>
          <t xml:space="preserve">FY2023 AR, Note 14</t>
        </r>
      </text>
    </comment>
    <comment ref="F27" authorId="0">
      <text>
        <r>
          <rPr>
            <sz val="10"/>
            <rFont val="Arial"/>
            <family val="2"/>
          </rPr>
          <t xml:space="preserve">FY2023 AR, Note 14 — $897</t>
        </r>
      </text>
    </comment>
    <comment ref="F29" authorId="0">
      <text>
        <r>
          <rPr>
            <sz val="10"/>
            <rFont val="Arial"/>
            <family val="2"/>
          </rPr>
          <t xml:space="preserve">FY2023 AR, IS p.2 FS</t>
        </r>
      </text>
    </comment>
    <comment ref="F30" authorId="0">
      <text>
        <r>
          <rPr>
            <sz val="10"/>
            <rFont val="Arial"/>
            <family val="2"/>
          </rPr>
          <t xml:space="preserve">FY2023 AR, IS p.2 FS, Note 15</t>
        </r>
      </text>
    </comment>
    <comment ref="F31" authorId="0">
      <text>
        <r>
          <rPr>
            <sz val="10"/>
            <rFont val="Arial"/>
            <family val="2"/>
          </rPr>
          <t xml:space="preserve">FY2023 AR, IS p.2 FS, Note 18 — pro-rated: 4 months at 1.0% (Sep-Dec 2023)</t>
        </r>
      </text>
    </comment>
    <comment ref="F32" authorId="0">
      <text>
        <r>
          <rPr>
            <sz val="10"/>
            <rFont val="Arial"/>
            <family val="2"/>
          </rPr>
          <t xml:space="preserve">FY2023 AR, IS p.2 FS</t>
        </r>
      </text>
    </comment>
    <comment ref="F35" authorId="0">
      <text>
        <r>
          <rPr>
            <sz val="10"/>
            <rFont val="Arial"/>
            <family val="2"/>
          </rPr>
          <t xml:space="preserve">FY2023 AR, Note 20</t>
        </r>
      </text>
    </comment>
    <comment ref="F36" authorId="0">
      <text>
        <r>
          <rPr>
            <sz val="10"/>
            <rFont val="Arial"/>
            <family val="2"/>
          </rPr>
          <t xml:space="preserve">FY2023 AR, Note 20 — recovery</t>
        </r>
      </text>
    </comment>
    <comment ref="F40" authorId="0">
      <text>
        <r>
          <rPr>
            <sz val="10"/>
            <rFont val="Arial"/>
            <family val="2"/>
          </rPr>
          <t xml:space="preserve">FY2023 AR, IS p.2 FS — Note: 2023 extraction shows $201,275 vs $201,274 rounding</t>
        </r>
      </text>
    </comment>
    <comment ref="F42" authorId="0">
      <text>
        <r>
          <rPr>
            <sz val="10"/>
            <rFont val="Arial"/>
            <family val="2"/>
          </rPr>
          <t xml:space="preserve">FY2023 AR, MD&amp;A p.53</t>
        </r>
      </text>
    </comment>
    <comment ref="F46" authorId="0">
      <text>
        <r>
          <rPr>
            <sz val="10"/>
            <rFont val="Arial"/>
            <family val="2"/>
          </rPr>
          <t xml:space="preserve">FY2023 AR, Note 13</t>
        </r>
      </text>
    </comment>
    <comment ref="F47" authorId="0">
      <text>
        <r>
          <rPr>
            <sz val="10"/>
            <rFont val="Arial"/>
            <family val="2"/>
          </rPr>
          <t xml:space="preserve">FY2023 AR, Note 13</t>
        </r>
      </text>
    </comment>
    <comment ref="F48" authorId="0">
      <text>
        <r>
          <rPr>
            <sz val="10"/>
            <rFont val="Arial"/>
            <family val="2"/>
          </rPr>
          <t xml:space="preserve">FY2023 AR, Note 13</t>
        </r>
      </text>
    </comment>
    <comment ref="F49" authorId="0">
      <text>
        <r>
          <rPr>
            <sz val="10"/>
            <rFont val="Arial"/>
            <family val="2"/>
          </rPr>
          <t xml:space="preserve">FY2023 AR, Note 13</t>
        </r>
      </text>
    </comment>
    <comment ref="F50" authorId="0">
      <text>
        <r>
          <rPr>
            <sz val="10"/>
            <rFont val="Arial"/>
            <family val="2"/>
          </rPr>
          <t xml:space="preserve">FY2023 AR, Note 13</t>
        </r>
      </text>
    </comment>
    <comment ref="F53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4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5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6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7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8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59" authorId="0">
      <text>
        <r>
          <rPr>
            <sz val="10"/>
            <rFont val="Arial"/>
            <family val="2"/>
          </rPr>
          <t xml:space="preserve">FY2023 AR, Note 15</t>
        </r>
      </text>
    </comment>
    <comment ref="F62" authorId="0">
      <text>
        <r>
          <rPr>
            <sz val="10"/>
            <rFont val="Arial"/>
            <family val="2"/>
          </rPr>
          <t xml:space="preserve">FY2023 AR, Note 16</t>
        </r>
      </text>
    </comment>
    <comment ref="F66" authorId="0">
      <text>
        <r>
          <rPr>
            <sz val="10"/>
            <rFont val="Arial"/>
            <family val="2"/>
          </rPr>
          <t xml:space="preserve">FY2023 AR, MD&amp;A p.20 — $221,044 - $204,755</t>
        </r>
      </text>
    </comment>
    <comment ref="F68" authorId="0">
      <text>
        <r>
          <rPr>
            <sz val="10"/>
            <rFont val="Arial"/>
            <family val="2"/>
          </rPr>
          <t xml:space="preserve">FY2023 AR, MD&amp;A p.20</t>
        </r>
      </text>
    </comment>
    <comment ref="F70" authorId="0">
      <text>
        <r>
          <rPr>
            <sz val="10"/>
            <rFont val="Arial"/>
            <family val="2"/>
          </rPr>
          <t xml:space="preserve">FY2023 AR, MD&amp;A p.36</t>
        </r>
      </text>
    </comment>
    <comment ref="F73" authorId="0">
      <text>
        <r>
          <rPr>
            <sz val="10"/>
            <rFont val="Arial"/>
            <family val="2"/>
          </rPr>
          <t xml:space="preserve">FY2023 AR, MD&amp;A p.53</t>
        </r>
      </text>
    </comment>
    <comment ref="F74" authorId="0">
      <text>
        <r>
          <rPr>
            <sz val="10"/>
            <rFont val="Arial"/>
            <family val="2"/>
          </rPr>
          <t xml:space="preserve">FY2023 AR, MD&amp;A p.53</t>
        </r>
      </text>
    </comment>
    <comment ref="F80" authorId="0">
      <text>
        <r>
          <rPr>
            <sz val="10"/>
            <rFont val="Arial"/>
            <family val="2"/>
          </rPr>
          <t xml:space="preserve">FY2023 AR p.36 — SS NOI growth 10.98%</t>
        </r>
      </text>
    </comment>
    <comment ref="F94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95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97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98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99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100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101" authorId="0">
      <text>
        <r>
          <rPr>
            <sz val="10"/>
            <rFont val="Arial"/>
            <family val="2"/>
          </rPr>
          <t xml:space="preserve">FY2024 AR, Note 5 p.19 FS — FY2023 comp</t>
        </r>
      </text>
    </comment>
    <comment ref="F107" authorId="0">
      <text>
        <r>
          <rPr>
            <sz val="10"/>
            <rFont val="Arial"/>
            <family val="2"/>
          </rPr>
          <t xml:space="preserve">FY2023 AR MD&amp;A p.53</t>
        </r>
      </text>
    </comment>
    <comment ref="F109" authorId="0">
      <text>
        <r>
          <rPr>
            <sz val="10"/>
            <rFont val="Arial"/>
            <family val="2"/>
          </rPr>
          <t xml:space="preserve">FY2023: Per FFO recon — $14,393 trailers + $2,472 cap raising</t>
        </r>
      </text>
    </comment>
    <comment ref="F131" authorId="0">
      <text>
        <r>
          <rPr>
            <sz val="10"/>
            <rFont val="Arial"/>
            <family val="2"/>
          </rPr>
          <t xml:space="preserve">FY2023 AR, St. of Changes</t>
        </r>
      </text>
    </comment>
    <comment ref="F140" authorId="0">
      <text>
        <r>
          <rPr>
            <sz val="10"/>
            <rFont val="Arial"/>
            <family val="2"/>
          </rPr>
          <t xml:space="preserve">FY2023: FY2024 AR CFS p.4 comparative</t>
        </r>
      </text>
    </comment>
    <comment ref="F145" authorId="0">
      <text>
        <r>
          <rPr>
            <sz val="10"/>
            <rFont val="Arial"/>
            <family val="2"/>
          </rPr>
          <t xml:space="preserve">FY2024 AR Note 11 p.31 FS — FY2023</t>
        </r>
      </text>
    </comment>
    <comment ref="F146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F147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F148" authorId="0">
      <text>
        <r>
          <rPr>
            <sz val="10"/>
            <rFont val="Arial"/>
            <family val="2"/>
          </rPr>
          <t xml:space="preserve">Converted to Class A Sep 2023</t>
        </r>
      </text>
    </comment>
    <comment ref="F149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F151" authorId="0">
      <text>
        <r>
          <rPr>
            <sz val="10"/>
            <rFont val="Arial"/>
            <family val="2"/>
          </rPr>
          <t xml:space="preserve">FY2023 AR — 167,218,000</t>
        </r>
      </text>
    </comment>
    <comment ref="F159" authorId="0">
      <text>
        <r>
          <rPr>
            <sz val="10"/>
            <rFont val="Arial"/>
            <family val="2"/>
          </rPr>
          <t xml:space="preserve">FY2023 AR Note 16</t>
        </r>
      </text>
    </comment>
    <comment ref="F160" authorId="0">
      <text>
        <r>
          <rPr>
            <sz val="10"/>
            <rFont val="Arial"/>
            <family val="2"/>
          </rPr>
          <t xml:space="preserve">FY2023 AR Note 16</t>
        </r>
      </text>
    </comment>
    <comment ref="F161" authorId="0">
      <text>
        <r>
          <rPr>
            <sz val="10"/>
            <rFont val="Arial"/>
            <family val="2"/>
          </rPr>
          <t xml:space="preserve">FY2023 AR Note 16</t>
        </r>
      </text>
    </comment>
    <comment ref="F162" authorId="0">
      <text>
        <r>
          <rPr>
            <sz val="10"/>
            <rFont val="Arial"/>
            <family val="2"/>
          </rPr>
          <t xml:space="preserve">FY2023 AR Note 16 — 15% above 7.25% hurdle</t>
        </r>
      </text>
    </comment>
    <comment ref="F185" authorId="0">
      <text>
        <r>
          <rPr>
            <sz val="10"/>
            <rFont val="Arial"/>
            <family val="2"/>
          </rPr>
          <t xml:space="preserve">FY2023 AR — ~3,746</t>
        </r>
      </text>
    </comment>
    <comment ref="F188" authorId="0">
      <text>
        <r>
          <rPr>
            <sz val="10"/>
            <rFont val="Arial"/>
            <family val="2"/>
          </rPr>
          <t xml:space="preserve">FY2023 — 2,383 redeemed for $26,414 before conversion</t>
        </r>
      </text>
    </comment>
    <comment ref="F189" authorId="0">
      <text>
        <r>
          <rPr>
            <sz val="10"/>
            <rFont val="Arial"/>
            <family val="2"/>
          </rPr>
          <t xml:space="preserve">FY2023 — $26,414 pre-conversion. PLUS conversion to 1,098,873 Class A units.</t>
        </r>
      </text>
    </comment>
    <comment ref="F190" authorId="0">
      <text>
        <r>
          <rPr>
            <sz val="10"/>
            <rFont val="Arial"/>
            <family val="2"/>
          </rPr>
          <t xml:space="preserve">FY2023 FS p.29 — 1,098,873 M→A conversion Sep 1, 2023</t>
        </r>
      </text>
    </comment>
    <comment ref="G8" authorId="0">
      <text>
        <r>
          <rPr>
            <sz val="10"/>
            <rFont val="Arial"/>
            <family val="2"/>
          </rPr>
          <t xml:space="preserve">FY2024 AR, Note 12, p.32 FS — Rental income</t>
        </r>
      </text>
    </comment>
    <comment ref="G9" authorId="0">
      <text>
        <r>
          <rPr>
            <sz val="10"/>
            <rFont val="Arial"/>
            <family val="2"/>
          </rPr>
          <t xml:space="preserve">FY2024 AR, Note 12 p.32 FS</t>
        </r>
      </text>
    </comment>
    <comment ref="G10" authorId="0">
      <text>
        <r>
          <rPr>
            <sz val="10"/>
            <rFont val="Arial"/>
            <family val="2"/>
          </rPr>
          <t xml:space="preserve">FY2024 AR, Note 12 p.32 FS</t>
        </r>
      </text>
    </comment>
    <comment ref="G12" authorId="0">
      <text>
        <r>
          <rPr>
            <sz val="10"/>
            <rFont val="Arial"/>
            <family val="2"/>
          </rPr>
          <t xml:space="preserve">FY2024 AR, MD&amp;A p.21 — management basis</t>
        </r>
      </text>
    </comment>
    <comment ref="G15" authorId="0">
      <text>
        <r>
          <rPr>
            <sz val="10"/>
            <rFont val="Arial"/>
            <family val="2"/>
          </rPr>
          <t xml:space="preserve">FY2024 AR, IS p.2 FS</t>
        </r>
      </text>
    </comment>
    <comment ref="G21" authorId="0">
      <text>
        <r>
          <rPr>
            <sz val="10"/>
            <rFont val="Arial"/>
            <family val="2"/>
          </rPr>
          <t xml:space="preserve">FY2024 AR, IS p.2 FS, Note 6</t>
        </r>
      </text>
    </comment>
    <comment ref="G22" authorId="0">
      <text>
        <r>
          <rPr>
            <sz val="10"/>
            <rFont val="Arial"/>
            <family val="2"/>
          </rPr>
          <t xml:space="preserve">FY2024 AR, IS p.2 FS, Note 6</t>
        </r>
      </text>
    </comment>
    <comment ref="G23" authorId="0">
      <text>
        <r>
          <rPr>
            <sz val="10"/>
            <rFont val="Arial"/>
            <family val="2"/>
          </rPr>
          <t xml:space="preserve">FY2024 AR, IS p.2 FS, Note 5 — operational income only (FV split out below)</t>
        </r>
      </text>
    </comment>
    <comment ref="G24" authorId="0">
      <text>
        <r>
          <rPr>
            <sz val="10"/>
            <rFont val="Arial"/>
            <family val="2"/>
          </rPr>
          <t xml:space="preserve">FY2024 AR, IS p.2 FS, Note 16. Breakdown: IP $195,372 + EAI IP $26,075 + PLI ($9,723) + Carry ($67,794)</t>
        </r>
      </text>
    </comment>
    <comment ref="G25" authorId="0">
      <text>
        <r>
          <rPr>
            <sz val="10"/>
            <rFont val="Arial"/>
            <family val="2"/>
          </rPr>
          <t xml:space="preserve">FY2024 AR, IS p.2 FS, Note 13</t>
        </r>
      </text>
    </comment>
    <comment ref="G26" authorId="0">
      <text>
        <r>
          <rPr>
            <sz val="10"/>
            <rFont val="Arial"/>
            <family val="2"/>
          </rPr>
          <t xml:space="preserve">FY2024 AR, Note 14 p.32 FS — within "Other income and expenses"</t>
        </r>
      </text>
    </comment>
    <comment ref="G27" authorId="0">
      <text>
        <r>
          <rPr>
            <sz val="10"/>
            <rFont val="Arial"/>
            <family val="2"/>
          </rPr>
          <t xml:space="preserve">FY2024 AR, Note 14 — "Interest and miscellaneous" $892</t>
        </r>
      </text>
    </comment>
    <comment ref="G29" authorId="0">
      <text>
        <r>
          <rPr>
            <sz val="10"/>
            <rFont val="Arial"/>
            <family val="2"/>
          </rPr>
          <t xml:space="preserve">FY2024 AR, IS p.2 FS</t>
        </r>
      </text>
    </comment>
    <comment ref="G30" authorId="0">
      <text>
        <r>
          <rPr>
            <sz val="10"/>
            <rFont val="Arial"/>
            <family val="2"/>
          </rPr>
          <t xml:space="preserve">FY2024 AR, IS p.2 FS, Note 15</t>
        </r>
      </text>
    </comment>
    <comment ref="G31" authorId="0">
      <text>
        <r>
          <rPr>
            <sz val="10"/>
            <rFont val="Arial"/>
            <family val="2"/>
          </rPr>
          <t xml:space="preserve">FY2024 AR, IS p.2 FS, Note 19 — 1.0% of NAV p.a. Revised agreement Sep 2023</t>
        </r>
      </text>
    </comment>
    <comment ref="G32" authorId="0">
      <text>
        <r>
          <rPr>
            <sz val="10"/>
            <rFont val="Arial"/>
            <family val="2"/>
          </rPr>
          <t xml:space="preserve">FY2024 AR, IS p.2 FS</t>
        </r>
      </text>
    </comment>
    <comment ref="G35" authorId="0">
      <text>
        <r>
          <rPr>
            <sz val="10"/>
            <rFont val="Arial"/>
            <family val="2"/>
          </rPr>
          <t xml:space="preserve">FY2024 AR, Note 20c — U.S. subsidiaries only</t>
        </r>
      </text>
    </comment>
    <comment ref="G36" authorId="0">
      <text>
        <r>
          <rPr>
            <sz val="10"/>
            <rFont val="Arial"/>
            <family val="2"/>
          </rPr>
          <t xml:space="preserve">FY2024 AR, Note 20c — recovery</t>
        </r>
      </text>
    </comment>
    <comment ref="G40" authorId="0">
      <text>
        <r>
          <rPr>
            <sz val="10"/>
            <rFont val="Arial"/>
            <family val="2"/>
          </rPr>
          <t xml:space="preserve">FY2024 AR, IS p.2 FS</t>
        </r>
      </text>
    </comment>
    <comment ref="G42" authorId="0">
      <text>
        <r>
          <rPr>
            <sz val="10"/>
            <rFont val="Arial"/>
            <family val="2"/>
          </rPr>
          <t xml:space="preserve">FY2024 AR, MD&amp;A p.51</t>
        </r>
      </text>
    </comment>
    <comment ref="G46" authorId="0">
      <text>
        <r>
          <rPr>
            <sz val="10"/>
            <rFont val="Arial"/>
            <family val="2"/>
          </rPr>
          <t xml:space="preserve">FY2024 AR, Note 13 p.32 FS</t>
        </r>
      </text>
    </comment>
    <comment ref="G47" authorId="0">
      <text>
        <r>
          <rPr>
            <sz val="10"/>
            <rFont val="Arial"/>
            <family val="2"/>
          </rPr>
          <t xml:space="preserve">FY2024 AR, Note 13</t>
        </r>
      </text>
    </comment>
    <comment ref="G48" authorId="0">
      <text>
        <r>
          <rPr>
            <sz val="10"/>
            <rFont val="Arial"/>
            <family val="2"/>
          </rPr>
          <t xml:space="preserve">FY2024 AR, Note 13</t>
        </r>
      </text>
    </comment>
    <comment ref="G49" authorId="0">
      <text>
        <r>
          <rPr>
            <sz val="10"/>
            <rFont val="Arial"/>
            <family val="2"/>
          </rPr>
          <t xml:space="preserve">FY2024 AR, Note 13</t>
        </r>
      </text>
    </comment>
    <comment ref="G50" authorId="0">
      <text>
        <r>
          <rPr>
            <sz val="10"/>
            <rFont val="Arial"/>
            <family val="2"/>
          </rPr>
          <t xml:space="preserve">FY2024 AR, Note 13</t>
        </r>
      </text>
    </comment>
    <comment ref="G53" authorId="0">
      <text>
        <r>
          <rPr>
            <sz val="10"/>
            <rFont val="Arial"/>
            <family val="2"/>
          </rPr>
          <t xml:space="preserve">FY2024 AR, Note 15 p.32 FS</t>
        </r>
      </text>
    </comment>
    <comment ref="G54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55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56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57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58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59" authorId="0">
      <text>
        <r>
          <rPr>
            <sz val="10"/>
            <rFont val="Arial"/>
            <family val="2"/>
          </rPr>
          <t xml:space="preserve">FY2024 AR, Note 15</t>
        </r>
      </text>
    </comment>
    <comment ref="G62" authorId="0">
      <text>
        <r>
          <rPr>
            <sz val="10"/>
            <rFont val="Arial"/>
            <family val="2"/>
          </rPr>
          <t xml:space="preserve">FY2024 AR, Note 16 p.32 FS — after deducting acq costs $10,463 and IP improvements $49,687</t>
        </r>
      </text>
    </comment>
    <comment ref="G66" authorId="0">
      <text>
        <r>
          <rPr>
            <sz val="10"/>
            <rFont val="Arial"/>
            <family val="2"/>
          </rPr>
          <t xml:space="preserve">FY2024 AR, MD&amp;A p.21 — Mgmt NOI $246,121 - IFRS NOI $227,787</t>
        </r>
      </text>
    </comment>
    <comment ref="G68" authorId="0">
      <text>
        <r>
          <rPr>
            <sz val="10"/>
            <rFont val="Arial"/>
            <family val="2"/>
          </rPr>
          <t xml:space="preserve">FY2024 AR, MD&amp;A p.21</t>
        </r>
      </text>
    </comment>
    <comment ref="G70" authorId="0">
      <text>
        <r>
          <rPr>
            <sz val="10"/>
            <rFont val="Arial"/>
            <family val="2"/>
          </rPr>
          <t xml:space="preserve">FY2024 AR, MD&amp;A p.33 — NNOI run rate</t>
        </r>
      </text>
    </comment>
    <comment ref="G73" authorId="0">
      <text>
        <r>
          <rPr>
            <sz val="10"/>
            <rFont val="Arial"/>
            <family val="2"/>
          </rPr>
          <t xml:space="preserve">FY2024 AR, MD&amp;A p.51 — NFFO recon</t>
        </r>
      </text>
    </comment>
    <comment ref="G74" authorId="0">
      <text>
        <r>
          <rPr>
            <sz val="10"/>
            <rFont val="Arial"/>
            <family val="2"/>
          </rPr>
          <t xml:space="preserve">FY2024 AR, MD&amp;A p.51</t>
        </r>
      </text>
    </comment>
    <comment ref="G80" authorId="0">
      <text>
        <r>
          <rPr>
            <sz val="10"/>
            <rFont val="Arial"/>
            <family val="2"/>
          </rPr>
          <t xml:space="preserve">FY2024 AR p.36 — SS NOI growth 8.63%</t>
        </r>
      </text>
    </comment>
    <comment ref="G94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95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97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98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99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100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101" authorId="0">
      <text>
        <r>
          <rPr>
            <sz val="10"/>
            <rFont val="Arial"/>
            <family val="2"/>
          </rPr>
          <t xml:space="preserve">FY2024 AR, Note 5 p.19 FS</t>
        </r>
      </text>
    </comment>
    <comment ref="G107" authorId="0">
      <text>
        <r>
          <rPr>
            <sz val="10"/>
            <rFont val="Arial"/>
            <family val="2"/>
          </rPr>
          <t xml:space="preserve">FY2024 AR MD&amp;A p.51</t>
        </r>
      </text>
    </comment>
    <comment ref="G109" authorId="0">
      <text>
        <r>
          <rPr>
            <sz val="10"/>
            <rFont val="Arial"/>
            <family val="2"/>
          </rPr>
          <t xml:space="preserve">FY2024: Trailers added back in FFO recon per MD&amp;A p.51. Includes cap raising costs.</t>
        </r>
      </text>
    </comment>
    <comment ref="G110" authorId="0">
      <text>
        <r>
          <rPr>
            <sz val="10"/>
            <rFont val="Arial"/>
            <family val="2"/>
          </rPr>
          <t xml:space="preserve">FY2024 MD&amp;A p.51 — unusual: gains added back in FFO</t>
        </r>
      </text>
    </comment>
    <comment ref="G131" authorId="0">
      <text>
        <r>
          <rPr>
            <sz val="10"/>
            <rFont val="Arial"/>
            <family val="2"/>
          </rPr>
          <t xml:space="preserve">FY2024 AR, St. of Changes p.3 FS</t>
        </r>
      </text>
    </comment>
    <comment ref="G140" authorId="0">
      <text>
        <r>
          <rPr>
            <sz val="10"/>
            <rFont val="Arial"/>
            <family val="2"/>
          </rPr>
          <t xml:space="preserve">FY2024 AR CFS p.4</t>
        </r>
      </text>
    </comment>
    <comment ref="G145" authorId="0">
      <text>
        <r>
          <rPr>
            <sz val="10"/>
            <rFont val="Arial"/>
            <family val="2"/>
          </rPr>
          <t xml:space="preserve">FY2024 AR Note 11 p.31 FS</t>
        </r>
      </text>
    </comment>
    <comment ref="G146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G147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G148" authorId="0">
      <text>
        <r>
          <rPr>
            <sz val="10"/>
            <rFont val="Arial"/>
            <family val="2"/>
          </rPr>
          <t xml:space="preserve">Terminated</t>
        </r>
      </text>
    </comment>
    <comment ref="G149" authorId="0">
      <text>
        <r>
          <rPr>
            <sz val="10"/>
            <rFont val="Arial"/>
            <family val="2"/>
          </rPr>
          <t xml:space="preserve">FY2024 AR Note 11</t>
        </r>
      </text>
    </comment>
    <comment ref="G151" authorId="0">
      <text>
        <r>
          <rPr>
            <sz val="10"/>
            <rFont val="Arial"/>
            <family val="2"/>
          </rPr>
          <t xml:space="preserve">FY2024 AR Note 11 — sum of classes</t>
        </r>
      </text>
    </comment>
    <comment ref="G159" authorId="0">
      <text>
        <r>
          <rPr>
            <sz val="10"/>
            <rFont val="Arial"/>
            <family val="2"/>
          </rPr>
          <t xml:space="preserve">FY2024 AR Note 16 p.33 FS</t>
        </r>
      </text>
    </comment>
    <comment ref="G160" authorId="0">
      <text>
        <r>
          <rPr>
            <sz val="10"/>
            <rFont val="Arial"/>
            <family val="2"/>
          </rPr>
          <t xml:space="preserve">FY2024 AR Note 16</t>
        </r>
      </text>
    </comment>
    <comment ref="G161" authorId="0">
      <text>
        <r>
          <rPr>
            <sz val="10"/>
            <rFont val="Arial"/>
            <family val="2"/>
          </rPr>
          <t xml:space="preserve">FY2024 AR Note 16</t>
        </r>
      </text>
    </comment>
    <comment ref="G162" authorId="0">
      <text>
        <r>
          <rPr>
            <sz val="10"/>
            <rFont val="Arial"/>
            <family val="2"/>
          </rPr>
          <t xml:space="preserve">FY2024 AR Note 16/19</t>
        </r>
      </text>
    </comment>
    <comment ref="G185" authorId="0">
      <text>
        <r>
          <rPr>
            <sz val="10"/>
            <rFont val="Arial"/>
            <family val="2"/>
          </rPr>
          <t xml:space="preserve">Converted to Class A Sep 1, 2023</t>
        </r>
      </text>
    </comment>
    <comment ref="G188" authorId="0">
      <text>
        <r>
          <rPr>
            <sz val="10"/>
            <rFont val="Arial"/>
            <family val="2"/>
          </rPr>
          <t xml:space="preserve">All converted</t>
        </r>
      </text>
    </comment>
    <comment ref="G189" authorId="0">
      <text>
        <r>
          <rPr>
            <sz val="10"/>
            <rFont val="Arial"/>
            <family val="2"/>
          </rPr>
          <t xml:space="preserve">N/A — class terminated</t>
        </r>
      </text>
    </comment>
    <comment ref="G196" authorId="0">
      <text>
        <r>
          <rPr>
            <sz val="10"/>
            <rFont val="Arial"/>
            <family val="2"/>
          </rPr>
          <t xml:space="preserve">FY2024 AR — settled via 2,794,408 Class C LP units Jan 2, 2025</t>
        </r>
      </text>
    </comment>
    <comment ref="G197" authorId="0">
      <text>
        <r>
          <rPr>
            <sz val="10"/>
            <rFont val="Arial"/>
            <family val="2"/>
          </rPr>
          <t xml:space="preserve">FY2024 — 2,794,408 Class C LP → Class F</t>
        </r>
      </text>
    </comment>
    <comment ref="H11" authorId="0">
      <text>
        <r>
          <rPr>
            <sz val="10"/>
            <rFont val="Arial"/>
            <family val="2"/>
          </rPr>
          <t xml:space="preserve">Q3 2025 Interim FS p.2 FS — Revenue from investment properties, YTD 9-mo</t>
        </r>
      </text>
    </comment>
    <comment ref="H15" authorId="0">
      <text>
        <r>
          <rPr>
            <sz val="10"/>
            <rFont val="Arial"/>
            <family val="2"/>
          </rPr>
          <t xml:space="preserve">Q3 2025 Interim FS p.2 FS — Property operating costs, YTD 9-mo</t>
        </r>
      </text>
    </comment>
    <comment ref="H21" authorId="0">
      <text>
        <r>
          <rPr>
            <sz val="10"/>
            <rFont val="Arial"/>
            <family val="2"/>
          </rPr>
          <t xml:space="preserve">Q3 2025 Interim FS p.2 FS — Interest income YTD 9-mo</t>
        </r>
      </text>
    </comment>
    <comment ref="H22" authorId="0">
      <text>
        <r>
          <rPr>
            <sz val="10"/>
            <rFont val="Arial"/>
            <family val="2"/>
          </rPr>
          <t xml:space="preserve">Q3 2025 Interim FS p.2 FS — ECL recovery YTD 9-mo</t>
        </r>
      </text>
    </comment>
    <comment ref="H23" authorId="0">
      <text>
        <r>
          <rPr>
            <sz val="10"/>
            <rFont val="Arial"/>
            <family val="2"/>
          </rPr>
          <t xml:space="preserve">Q3 2025 Interim FS p.2 FS — Income from EAI YTD 9-mo</t>
        </r>
      </text>
    </comment>
    <comment ref="H24" authorId="0">
      <text>
        <r>
          <rPr>
            <sz val="10"/>
            <rFont val="Arial"/>
            <family val="2"/>
          </rPr>
          <t xml:space="preserve">Q3 2025 Interim FS p.2 FS — Net FV gains YTD 9-mo</t>
        </r>
      </text>
    </comment>
    <comment ref="H25" authorId="0">
      <text>
        <r>
          <rPr>
            <sz val="10"/>
            <rFont val="Arial"/>
            <family val="2"/>
          </rPr>
          <t xml:space="preserve">Q3 2025 Interim FS p.2 FS, Note 13 — Finance costs YTD 9-mo</t>
        </r>
      </text>
    </comment>
    <comment ref="H26" authorId="0">
      <text>
        <r>
          <rPr>
            <sz val="10"/>
            <rFont val="Arial"/>
            <family val="2"/>
          </rPr>
          <t xml:space="preserve">Q3 2025 Interim FS Note 14 p.30 — Trailer fees YTD 9-mo</t>
        </r>
      </text>
    </comment>
    <comment ref="H27" authorId="0">
      <text>
        <r>
          <rPr>
            <sz val="10"/>
            <rFont val="Arial"/>
            <family val="2"/>
          </rPr>
          <t xml:space="preserve">Q3 2025 Interim FS Note 14 p.30 — Interest and misc YTD 9-mo</t>
        </r>
      </text>
    </comment>
    <comment ref="H30" authorId="0">
      <text>
        <r>
          <rPr>
            <sz val="10"/>
            <rFont val="Arial"/>
            <family val="2"/>
          </rPr>
          <t xml:space="preserve">Q3 2025 Interim FS p.2 FS, Note 15 — G&amp;A YTD 9-mo</t>
        </r>
      </text>
    </comment>
    <comment ref="H31" authorId="0">
      <text>
        <r>
          <rPr>
            <sz val="10"/>
            <rFont val="Arial"/>
            <family val="2"/>
          </rPr>
          <t xml:space="preserve">Q3 2025 Interim FS p.2 FS, Note 19 — AMF YTD 9-mo</t>
        </r>
      </text>
    </comment>
    <comment ref="H32" authorId="0">
      <text>
        <r>
          <rPr>
            <sz val="10"/>
            <rFont val="Arial"/>
            <family val="2"/>
          </rPr>
          <t xml:space="preserve">Q3 2025 Interim FS p.2 FS — FX loss YTD 9-mo</t>
        </r>
      </text>
    </comment>
    <comment ref="H35" authorId="0">
      <text>
        <r>
          <rPr>
            <sz val="10"/>
            <rFont val="Arial"/>
            <family val="2"/>
          </rPr>
          <t xml:space="preserve">Q3 2025 Interim FS p.2 FS — Current tax expense YTD 9-mo</t>
        </r>
      </text>
    </comment>
    <comment ref="H36" authorId="0">
      <text>
        <r>
          <rPr>
            <sz val="10"/>
            <rFont val="Arial"/>
            <family val="2"/>
          </rPr>
          <t xml:space="preserve">Q3 2025 Interim FS p.2 FS — Deferred tax expense YTD 9-mo</t>
        </r>
      </text>
    </comment>
    <comment ref="H40" authorId="0">
      <text>
        <r>
          <rPr>
            <sz val="10"/>
            <rFont val="Arial"/>
            <family val="2"/>
          </rPr>
          <t xml:space="preserve">Q3 2025 Interim FS p.2 — YTD 9-month Net Income $72,465</t>
        </r>
      </text>
    </comment>
    <comment ref="H42" authorId="0">
      <text>
        <r>
          <rPr>
            <sz val="10"/>
            <rFont val="Arial"/>
            <family val="2"/>
          </rPr>
          <t xml:space="preserve">Q3 2025 Interim FS MD&amp;A p.3 — WA diluted units YTD 9-mo</t>
        </r>
      </text>
    </comment>
    <comment ref="H46" authorId="0">
      <text>
        <r>
          <rPr>
            <sz val="10"/>
            <rFont val="Arial"/>
            <family val="2"/>
          </rPr>
          <t xml:space="preserve">Q3 2025 Interim FS Note 13 p.30 — Mortgage interest YTD 9-mo</t>
        </r>
      </text>
    </comment>
    <comment ref="H47" authorId="0">
      <text>
        <r>
          <rPr>
            <sz val="10"/>
            <rFont val="Arial"/>
            <family val="2"/>
          </rPr>
          <t xml:space="preserve">Q3 2025 Interim FS Note 13 p.30 — Credit facility interest YTD 9-mo</t>
        </r>
      </text>
    </comment>
    <comment ref="H48" authorId="0">
      <text>
        <r>
          <rPr>
            <sz val="10"/>
            <rFont val="Arial"/>
            <family val="2"/>
          </rPr>
          <t xml:space="preserve">Q3 2025 Interim FS Note 13 p.30 — Other interest YTD 9-mo</t>
        </r>
      </text>
    </comment>
    <comment ref="H49" authorId="0">
      <text>
        <r>
          <rPr>
            <sz val="10"/>
            <rFont val="Arial"/>
            <family val="2"/>
          </rPr>
          <t xml:space="preserve">Q3 2025 Interim FS Note 13 p.30 — Amort financing fees YTD 9-mo</t>
        </r>
      </text>
    </comment>
    <comment ref="H50" authorId="0">
      <text>
        <r>
          <rPr>
            <sz val="10"/>
            <rFont val="Arial"/>
            <family val="2"/>
          </rPr>
          <t xml:space="preserve">Q3 2025 Interim FS Note 13 p.30 — Amort CMHC YTD 9-mo</t>
        </r>
      </text>
    </comment>
    <comment ref="H53" authorId="0">
      <text>
        <r>
          <rPr>
            <sz val="10"/>
            <rFont val="Arial"/>
            <family val="2"/>
          </rPr>
          <t xml:space="preserve">Q3 2025 Interim FS Note 15 p.31 — Salaries YTD 9-mo</t>
        </r>
      </text>
    </comment>
    <comment ref="H54" authorId="0">
      <text>
        <r>
          <rPr>
            <sz val="10"/>
            <rFont val="Arial"/>
            <family val="2"/>
          </rPr>
          <t xml:space="preserve">Q3 2025 Interim FS Note 15 p.31 — Comms/IT YTD 9-mo</t>
        </r>
      </text>
    </comment>
    <comment ref="H55" authorId="0">
      <text>
        <r>
          <rPr>
            <sz val="10"/>
            <rFont val="Arial"/>
            <family val="2"/>
          </rPr>
          <t xml:space="preserve">Q3 2025 Interim FS Note 15 p.31 — Office YTD 9-mo</t>
        </r>
      </text>
    </comment>
    <comment ref="H56" authorId="0">
      <text>
        <r>
          <rPr>
            <sz val="10"/>
            <rFont val="Arial"/>
            <family val="2"/>
          </rPr>
          <t xml:space="preserve">Q3 2025 Interim FS Note 15 p.31 — Fund admin YTD 9-mo</t>
        </r>
      </text>
    </comment>
    <comment ref="H57" authorId="0">
      <text>
        <r>
          <rPr>
            <sz val="10"/>
            <rFont val="Arial"/>
            <family val="2"/>
          </rPr>
          <t xml:space="preserve">Q3 2025 Interim FS Note 15 p.31 — Professional fees YTD 9-mo</t>
        </r>
      </text>
    </comment>
    <comment ref="H58" authorId="0">
      <text>
        <r>
          <rPr>
            <sz val="10"/>
            <rFont val="Arial"/>
            <family val="2"/>
          </rPr>
          <t xml:space="preserve">Q3 2025 Interim FS Note 15 p.31 — Advertising YTD 9-mo</t>
        </r>
      </text>
    </comment>
    <comment ref="H59" authorId="0">
      <text>
        <r>
          <rPr>
            <sz val="10"/>
            <rFont val="Arial"/>
            <family val="2"/>
          </rPr>
          <t xml:space="preserve">Q3 2025 Interim FS Note 15 p.31 — Amort PP&amp;E YTD 9-mo</t>
        </r>
      </text>
    </comment>
    <comment ref="H66" authorId="0">
      <text>
        <r>
          <rPr>
            <sz val="10"/>
            <rFont val="Arial"/>
            <family val="2"/>
          </rPr>
          <t xml:space="preserve">Q3 2025 Interim FS Note 16 p.31 — FV adj on PLI YTD 9-mo</t>
        </r>
      </text>
    </comment>
    <comment ref="H67" authorId="0">
      <text>
        <r>
          <rPr>
            <sz val="10"/>
            <rFont val="Arial"/>
            <family val="2"/>
          </rPr>
          <t xml:space="preserve">Q3 2025 Interim FS Note 16 p.31 — Carry allocation YTD 9-mo</t>
        </r>
      </text>
    </comment>
    <comment ref="H107" authorId="0">
      <text>
        <r>
          <rPr>
            <sz val="10"/>
            <rFont val="Arial"/>
            <family val="2"/>
          </rPr>
          <t xml:space="preserve">Q3 2025 Interim FS MD&amp;A — Mgmt FFO YTD 9-mo $88,785</t>
        </r>
      </text>
    </comment>
    <comment ref="H131" authorId="0">
      <text>
        <r>
          <rPr>
            <sz val="10"/>
            <rFont val="Arial"/>
            <family val="2"/>
          </rPr>
          <t xml:space="preserve">Q3 2025 Interim FS St. of Changes — Total distributions declared YTD 9-mo</t>
        </r>
      </text>
    </comment>
    <comment ref="H140" authorId="0">
      <text>
        <r>
          <rPr>
            <sz val="10"/>
            <rFont val="Arial"/>
            <family val="2"/>
          </rPr>
          <t xml:space="preserve">Q3 2025 Interim FS CFS — IP improvements YTD 9-mo</t>
        </r>
      </text>
    </comment>
    <comment ref="H145" authorId="0">
      <text>
        <r>
          <rPr>
            <sz val="10"/>
            <rFont val="Arial"/>
            <family val="2"/>
          </rPr>
          <t xml:space="preserve">Q3 2025 Interim FS — Class A Sep 30, 2025. From unit table MD&amp;A.</t>
        </r>
      </text>
    </comment>
    <comment ref="H146" authorId="0">
      <text>
        <r>
          <rPr>
            <sz val="10"/>
            <rFont val="Arial"/>
            <family val="2"/>
          </rPr>
          <t xml:space="preserve">Q3 2025 Interim FS — Class F Sep 30, 2025</t>
        </r>
      </text>
    </comment>
    <comment ref="H147" authorId="0">
      <text>
        <r>
          <rPr>
            <sz val="10"/>
            <rFont val="Arial"/>
            <family val="2"/>
          </rPr>
          <t xml:space="preserve">Q3 2025 Interim FS — Class I Sep 30, 2025</t>
        </r>
      </text>
    </comment>
    <comment ref="H148" authorId="0">
      <text>
        <r>
          <rPr>
            <sz val="10"/>
            <rFont val="Arial"/>
            <family val="2"/>
          </rPr>
          <t xml:space="preserve">Terminated</t>
        </r>
      </text>
    </comment>
    <comment ref="H149" authorId="0">
      <text>
        <r>
          <rPr>
            <sz val="10"/>
            <rFont val="Arial"/>
            <family val="2"/>
          </rPr>
          <t xml:space="preserve">Q3 2025 Interim FS — Exchangeable LP Sep 30, 2025</t>
        </r>
      </text>
    </comment>
    <comment ref="H161" authorId="0">
      <text>
        <r>
          <rPr>
            <sz val="10"/>
            <rFont val="Arial"/>
            <family val="2"/>
          </rPr>
          <t xml:space="preserve">Q3 2025 Note 16</t>
        </r>
      </text>
    </comment>
    <comment ref="H162" authorId="0">
      <text>
        <r>
          <rPr>
            <sz val="10"/>
            <rFont val="Arial"/>
            <family val="2"/>
          </rPr>
          <t xml:space="preserve">Q3 2025 Note 16</t>
        </r>
      </text>
    </comment>
    <comment ref="H185" authorId="0">
      <text>
        <r>
          <rPr>
            <sz val="10"/>
            <rFont val="Arial"/>
            <family val="2"/>
          </rPr>
          <t xml:space="preserve">N/A</t>
        </r>
      </text>
    </comment>
    <comment ref="H196" authorId="0">
      <text>
        <r>
          <rPr>
            <sz val="10"/>
            <rFont val="Arial"/>
            <family val="2"/>
          </rPr>
          <t xml:space="preserve">Q3 2025 — accrued, to be settled in units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0" authorId="0">
      <text>
        <r>
          <rPr>
            <sz val="10"/>
            <rFont val="Arial"/>
            <family val="2"/>
          </rPr>
          <t xml:space="preserve">FY2020 AR p.60</t>
        </r>
      </text>
    </comment>
    <comment ref="B11" authorId="0">
      <text>
        <r>
          <rPr>
            <sz val="10"/>
            <rFont val="Arial"/>
            <family val="2"/>
          </rPr>
          <t xml:space="preserve">FY2019 — same as A pre-split</t>
        </r>
      </text>
    </comment>
    <comment ref="B22" authorId="0">
      <text>
        <r>
          <rPr>
            <sz val="10"/>
            <rFont val="Arial"/>
            <family val="2"/>
          </rPr>
          <t xml:space="preserve">FY2020 AR</t>
        </r>
      </text>
    </comment>
    <comment ref="B51" authorId="0">
      <text>
        <r>
          <rPr>
            <sz val="10"/>
            <rFont val="Arial"/>
            <family val="2"/>
          </rPr>
          <t xml:space="preserve">Toggle — conservative 5% forward SS NOI growth</t>
        </r>
      </text>
    </comment>
    <comment ref="B53" authorId="0">
      <text>
        <r>
          <rPr>
            <sz val="10"/>
            <rFont val="Arial"/>
            <family val="2"/>
          </rPr>
          <t xml:space="preserve">FY2024 AR MD&amp;A p.33 — most recent disclosed NNOI run rate</t>
        </r>
      </text>
    </comment>
    <comment ref="B75" authorId="0">
      <text>
        <r>
          <rPr>
            <sz val="10"/>
            <rFont val="Arial"/>
            <family val="2"/>
          </rPr>
          <t xml:space="preserve">Toggle — 5.00% analyst cap rate. Compare to IFRS 4.36% and peer range.</t>
        </r>
      </text>
    </comment>
    <comment ref="C10" authorId="0">
      <text>
        <r>
          <rPr>
            <sz val="10"/>
            <rFont val="Arial"/>
            <family val="2"/>
          </rPr>
          <t xml:space="preserve">FY2020 AR p.60</t>
        </r>
      </text>
    </comment>
    <comment ref="C11" authorId="0">
      <text>
        <r>
          <rPr>
            <sz val="10"/>
            <rFont val="Arial"/>
            <family val="2"/>
          </rPr>
          <t xml:space="preserve">FY2020 AR p.60</t>
        </r>
      </text>
    </comment>
    <comment ref="C22" authorId="0">
      <text>
        <r>
          <rPr>
            <sz val="10"/>
            <rFont val="Arial"/>
            <family val="2"/>
          </rPr>
          <t xml:space="preserve">FY2020 AR</t>
        </r>
      </text>
    </comment>
    <comment ref="D10" authorId="0">
      <text>
        <r>
          <rPr>
            <sz val="10"/>
            <rFont val="Arial"/>
            <family val="2"/>
          </rPr>
          <t xml:space="preserve">FY2021 AR p.59</t>
        </r>
      </text>
    </comment>
    <comment ref="D11" authorId="0">
      <text>
        <r>
          <rPr>
            <sz val="10"/>
            <rFont val="Arial"/>
            <family val="2"/>
          </rPr>
          <t xml:space="preserve">FY2021 AR p.59</t>
        </r>
      </text>
    </comment>
    <comment ref="D22" authorId="0">
      <text>
        <r>
          <rPr>
            <sz val="10"/>
            <rFont val="Arial"/>
            <family val="2"/>
          </rPr>
          <t xml:space="preserve">FY2021 AR</t>
        </r>
      </text>
    </comment>
    <comment ref="E10" authorId="0">
      <text>
        <r>
          <rPr>
            <sz val="10"/>
            <rFont val="Arial"/>
            <family val="2"/>
          </rPr>
          <t xml:space="preserve">FY2022 AR p.70 — increased Jan 2022</t>
        </r>
      </text>
    </comment>
    <comment ref="E11" authorId="0">
      <text>
        <r>
          <rPr>
            <sz val="10"/>
            <rFont val="Arial"/>
            <family val="2"/>
          </rPr>
          <t xml:space="preserve">FY2022 AR p.70</t>
        </r>
      </text>
    </comment>
    <comment ref="E22" authorId="0">
      <text>
        <r>
          <rPr>
            <sz val="10"/>
            <rFont val="Arial"/>
            <family val="2"/>
          </rPr>
          <t xml:space="preserve">FY2022 AR</t>
        </r>
      </text>
    </comment>
    <comment ref="F10" authorId="0">
      <text>
        <r>
          <rPr>
            <sz val="10"/>
            <rFont val="Arial"/>
            <family val="2"/>
          </rPr>
          <t xml:space="preserve">FY2023 AR — blended A: $0.84 Jan-Nov + $0.96 Dec</t>
        </r>
      </text>
    </comment>
    <comment ref="F11" authorId="0">
      <text>
        <r>
          <rPr>
            <sz val="10"/>
            <rFont val="Arial"/>
            <family val="2"/>
          </rPr>
          <t xml:space="preserve">FY2023 AR — blended F: $1.04 Jan-Nov + $1.16 Dec</t>
        </r>
      </text>
    </comment>
    <comment ref="F22" authorId="0">
      <text>
        <r>
          <rPr>
            <sz val="10"/>
            <rFont val="Arial"/>
            <family val="2"/>
          </rPr>
          <t xml:space="preserve">FY2023 AR</t>
        </r>
      </text>
    </comment>
    <comment ref="G10" authorId="0">
      <text>
        <r>
          <rPr>
            <sz val="10"/>
            <rFont val="Arial"/>
            <family val="2"/>
          </rPr>
          <t xml:space="preserve">FY2024 AR p.3</t>
        </r>
      </text>
    </comment>
    <comment ref="G11" authorId="0">
      <text>
        <r>
          <rPr>
            <sz val="10"/>
            <rFont val="Arial"/>
            <family val="2"/>
          </rPr>
          <t xml:space="preserve">FY2024 AR p.3</t>
        </r>
      </text>
    </comment>
    <comment ref="G22" authorId="0">
      <text>
        <r>
          <rPr>
            <sz val="10"/>
            <rFont val="Arial"/>
            <family val="2"/>
          </rPr>
          <t xml:space="preserve">FY2024 AR Note 9</t>
        </r>
      </text>
    </comment>
    <comment ref="H10" authorId="0">
      <text>
        <r>
          <rPr>
            <sz val="10"/>
            <rFont val="Arial"/>
            <family val="2"/>
          </rPr>
          <t xml:space="preserve">Q3 2025 — YTD 9-mo $0.72 ($0.96 annualized)</t>
        </r>
      </text>
    </comment>
    <comment ref="H11" authorId="0">
      <text>
        <r>
          <rPr>
            <sz val="10"/>
            <rFont val="Arial"/>
            <family val="2"/>
          </rPr>
          <t xml:space="preserve">Q3 2025 — YTD 9-mo ($1.16 annualized)</t>
        </r>
      </text>
    </comment>
    <comment ref="H22" authorId="0">
      <text>
        <r>
          <rPr>
            <sz val="10"/>
            <rFont val="Arial"/>
            <family val="2"/>
          </rPr>
          <t xml:space="preserve">Q3 2025 Note 9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FY2020 AR p.3 — FY2019</t>
        </r>
      </text>
    </comment>
    <comment ref="B12" authorId="0">
      <text>
        <r>
          <rPr>
            <sz val="10"/>
            <rFont val="Arial"/>
            <family val="2"/>
          </rPr>
          <t xml:space="preserve">FY2020 AR p.3 — FY2019</t>
        </r>
      </text>
    </comment>
    <comment ref="B13" authorId="0">
      <text>
        <r>
          <rPr>
            <sz val="10"/>
            <rFont val="Arial"/>
            <family val="2"/>
          </rPr>
          <t xml:space="preserve">FY2019 — approx same as overall (small portfolio)</t>
        </r>
      </text>
    </comment>
    <comment ref="B16" authorId="0">
      <text>
        <r>
          <rPr>
            <sz val="10"/>
            <rFont val="Arial"/>
            <family val="2"/>
          </rPr>
          <t xml:space="preserve">FY2020 AR p.56 — FY2019</t>
        </r>
      </text>
    </comment>
    <comment ref="C6" authorId="0">
      <text>
        <r>
          <rPr>
            <sz val="10"/>
            <rFont val="Arial"/>
            <family val="2"/>
          </rPr>
          <t xml:space="preserve">FY2020 AR p.3. Note: extraction says 11,786; using 12,166 from FY2021 AR comp.</t>
        </r>
      </text>
    </comment>
    <comment ref="C7" authorId="0">
      <text>
        <r>
          <rPr>
            <sz val="10"/>
            <rFont val="Arial"/>
            <family val="2"/>
          </rPr>
          <t xml:space="preserve">FY2020 AR p.5</t>
        </r>
      </text>
    </comment>
    <comment ref="C12" authorId="0">
      <text>
        <r>
          <rPr>
            <sz val="10"/>
            <rFont val="Arial"/>
            <family val="2"/>
          </rPr>
          <t xml:space="preserve">FY2020 AR p.3</t>
        </r>
      </text>
    </comment>
    <comment ref="C13" authorId="0">
      <text>
        <r>
          <rPr>
            <sz val="10"/>
            <rFont val="Arial"/>
            <family val="2"/>
          </rPr>
          <t xml:space="preserve">FY2020 AR p.3</t>
        </r>
      </text>
    </comment>
    <comment ref="C16" authorId="0">
      <text>
        <r>
          <rPr>
            <sz val="10"/>
            <rFont val="Arial"/>
            <family val="2"/>
          </rPr>
          <t xml:space="preserve">FY2020 AR p.56</t>
        </r>
      </text>
    </comment>
    <comment ref="C21" authorId="0">
      <text>
        <r>
          <rPr>
            <sz val="10"/>
            <rFont val="Arial"/>
            <family val="2"/>
          </rPr>
          <t xml:space="preserve">FY2020 AR p.56</t>
        </r>
      </text>
    </comment>
    <comment ref="C22" authorId="0">
      <text>
        <r>
          <rPr>
            <sz val="10"/>
            <rFont val="Arial"/>
            <family val="2"/>
          </rPr>
          <t xml:space="preserve">FY2020 AR p.56 — 1.23%</t>
        </r>
      </text>
    </comment>
    <comment ref="C23" authorId="0">
      <text>
        <r>
          <rPr>
            <sz val="10"/>
            <rFont val="Arial"/>
            <family val="2"/>
          </rPr>
          <t xml:space="preserve">FY2020 AR p.56</t>
        </r>
      </text>
    </comment>
    <comment ref="C24" authorId="0">
      <text>
        <r>
          <rPr>
            <sz val="10"/>
            <rFont val="Arial"/>
            <family val="2"/>
          </rPr>
          <t xml:space="preserve">FY2020 AR p.56</t>
        </r>
      </text>
    </comment>
    <comment ref="C32" authorId="0">
      <text>
        <r>
          <rPr>
            <sz val="10"/>
            <rFont val="Arial"/>
            <family val="2"/>
          </rPr>
          <t xml:space="preserve">FY2020 AR p.47</t>
        </r>
      </text>
    </comment>
    <comment ref="D6" authorId="0">
      <text>
        <r>
          <rPr>
            <sz val="10"/>
            <rFont val="Arial"/>
            <family val="2"/>
          </rPr>
          <t xml:space="preserve">FY2021 AR p.3</t>
        </r>
      </text>
    </comment>
    <comment ref="D7" authorId="0">
      <text>
        <r>
          <rPr>
            <sz val="10"/>
            <rFont val="Arial"/>
            <family val="2"/>
          </rPr>
          <t xml:space="preserve">FY2021 AR p.2</t>
        </r>
      </text>
    </comment>
    <comment ref="D12" authorId="0">
      <text>
        <r>
          <rPr>
            <sz val="10"/>
            <rFont val="Arial"/>
            <family val="2"/>
          </rPr>
          <t xml:space="preserve">FY2021 AR p.3</t>
        </r>
      </text>
    </comment>
    <comment ref="D13" authorId="0">
      <text>
        <r>
          <rPr>
            <sz val="10"/>
            <rFont val="Arial"/>
            <family val="2"/>
          </rPr>
          <t xml:space="preserve">FY2021 AR p.3</t>
        </r>
      </text>
    </comment>
    <comment ref="D16" authorId="0">
      <text>
        <r>
          <rPr>
            <sz val="10"/>
            <rFont val="Arial"/>
            <family val="2"/>
          </rPr>
          <t xml:space="preserve">FY2021 AR p.56</t>
        </r>
      </text>
    </comment>
    <comment ref="D17" authorId="0">
      <text>
        <r>
          <rPr>
            <sz val="10"/>
            <rFont val="Arial"/>
            <family val="2"/>
          </rPr>
          <t xml:space="preserve">FY2021 AR p.56 — SS apartment</t>
        </r>
      </text>
    </comment>
    <comment ref="D18" authorId="0">
      <text>
        <r>
          <rPr>
            <sz val="10"/>
            <rFont val="Arial"/>
            <family val="2"/>
          </rPr>
          <t xml:space="preserve">FY2021 AR p.56 — SS student</t>
        </r>
      </text>
    </comment>
    <comment ref="D21" authorId="0">
      <text>
        <r>
          <rPr>
            <sz val="10"/>
            <rFont val="Arial"/>
            <family val="2"/>
          </rPr>
          <t xml:space="preserve">FY2021 AR p.56</t>
        </r>
      </text>
    </comment>
    <comment ref="D22" authorId="0">
      <text>
        <r>
          <rPr>
            <sz val="10"/>
            <rFont val="Arial"/>
            <family val="2"/>
          </rPr>
          <t xml:space="preserve">FY2021 AR p.56 — (0.50)%</t>
        </r>
      </text>
    </comment>
    <comment ref="D23" authorId="0">
      <text>
        <r>
          <rPr>
            <sz val="10"/>
            <rFont val="Arial"/>
            <family val="2"/>
          </rPr>
          <t xml:space="preserve">FY2021 AR p.56</t>
        </r>
      </text>
    </comment>
    <comment ref="D24" authorId="0">
      <text>
        <r>
          <rPr>
            <sz val="10"/>
            <rFont val="Arial"/>
            <family val="2"/>
          </rPr>
          <t xml:space="preserve">FY2021 AR p.56</t>
        </r>
      </text>
    </comment>
    <comment ref="D26" authorId="0">
      <text>
        <r>
          <rPr>
            <sz val="10"/>
            <rFont val="Arial"/>
            <family val="2"/>
          </rPr>
          <t xml:space="preserve">FY2021 AR p.56</t>
        </r>
      </text>
    </comment>
    <comment ref="D28" authorId="0">
      <text>
        <r>
          <rPr>
            <sz val="10"/>
            <rFont val="Arial"/>
            <family val="2"/>
          </rPr>
          <t xml:space="preserve">FY2021 AR p.56</t>
        </r>
      </text>
    </comment>
    <comment ref="E6" authorId="0">
      <text>
        <r>
          <rPr>
            <sz val="10"/>
            <rFont val="Arial"/>
            <family val="2"/>
          </rPr>
          <t xml:space="preserve">FY2022 AR p.3</t>
        </r>
      </text>
    </comment>
    <comment ref="E7" authorId="0">
      <text>
        <r>
          <rPr>
            <sz val="10"/>
            <rFont val="Arial"/>
            <family val="2"/>
          </rPr>
          <t xml:space="preserve">FY2022 AR p.49</t>
        </r>
      </text>
    </comment>
    <comment ref="E12" authorId="0">
      <text>
        <r>
          <rPr>
            <sz val="10"/>
            <rFont val="Arial"/>
            <family val="2"/>
          </rPr>
          <t xml:space="preserve">FY2022 AR</t>
        </r>
      </text>
    </comment>
    <comment ref="E18" authorId="0">
      <text>
        <r>
          <rPr>
            <sz val="10"/>
            <rFont val="Arial"/>
            <family val="2"/>
          </rPr>
          <t xml:space="preserve">FY2022 AR p.66 — SS student</t>
        </r>
      </text>
    </comment>
    <comment ref="F6" authorId="0">
      <text>
        <r>
          <rPr>
            <sz val="10"/>
            <rFont val="Arial"/>
            <family val="2"/>
          </rPr>
          <t xml:space="preserve">FY2023 AR — 22,022</t>
        </r>
      </text>
    </comment>
    <comment ref="F7" authorId="0">
      <text>
        <r>
          <rPr>
            <sz val="10"/>
            <rFont val="Arial"/>
            <family val="2"/>
          </rPr>
          <t xml:space="preserve">FY2023 AR</t>
        </r>
      </text>
    </comment>
    <comment ref="F12" authorId="0">
      <text>
        <r>
          <rPr>
            <sz val="10"/>
            <rFont val="Arial"/>
            <family val="2"/>
          </rPr>
          <t xml:space="preserve">FY2023 AR p.3</t>
        </r>
      </text>
    </comment>
    <comment ref="F13" authorId="0">
      <text>
        <r>
          <rPr>
            <sz val="10"/>
            <rFont val="Arial"/>
            <family val="2"/>
          </rPr>
          <t xml:space="preserve">FY2023 AR</t>
        </r>
      </text>
    </comment>
    <comment ref="F16" authorId="0">
      <text>
        <r>
          <rPr>
            <sz val="10"/>
            <rFont val="Arial"/>
            <family val="2"/>
          </rPr>
          <t xml:space="preserve">FY2023 AR p.36 — SS end of period</t>
        </r>
      </text>
    </comment>
    <comment ref="F17" authorId="0">
      <text>
        <r>
          <rPr>
            <sz val="10"/>
            <rFont val="Arial"/>
            <family val="2"/>
          </rPr>
          <t xml:space="preserve">FY2023 AR p.39 — SS apartment</t>
        </r>
      </text>
    </comment>
    <comment ref="F18" authorId="0">
      <text>
        <r>
          <rPr>
            <sz val="10"/>
            <rFont val="Arial"/>
            <family val="2"/>
          </rPr>
          <t xml:space="preserve">FY2023 AR p.39</t>
        </r>
      </text>
    </comment>
    <comment ref="F21" authorId="0">
      <text>
        <r>
          <rPr>
            <sz val="10"/>
            <rFont val="Arial"/>
            <family val="2"/>
          </rPr>
          <t xml:space="preserve">FY2023 AR p.36</t>
        </r>
      </text>
    </comment>
    <comment ref="F22" authorId="0">
      <text>
        <r>
          <rPr>
            <sz val="10"/>
            <rFont val="Arial"/>
            <family val="2"/>
          </rPr>
          <t xml:space="preserve">FY2023 AR p.36 — 10.98%</t>
        </r>
      </text>
    </comment>
    <comment ref="F23" authorId="0">
      <text>
        <r>
          <rPr>
            <sz val="10"/>
            <rFont val="Arial"/>
            <family val="2"/>
          </rPr>
          <t xml:space="preserve">FY2023 AR p.36</t>
        </r>
      </text>
    </comment>
    <comment ref="F24" authorId="0">
      <text>
        <r>
          <rPr>
            <sz val="10"/>
            <rFont val="Arial"/>
            <family val="2"/>
          </rPr>
          <t xml:space="preserve">FY2023 AR p.36</t>
        </r>
      </text>
    </comment>
    <comment ref="F26" authorId="0">
      <text>
        <r>
          <rPr>
            <sz val="10"/>
            <rFont val="Arial"/>
            <family val="2"/>
          </rPr>
          <t xml:space="preserve">FY2023 AR p.39</t>
        </r>
      </text>
    </comment>
    <comment ref="F27" authorId="0">
      <text>
        <r>
          <rPr>
            <sz val="10"/>
            <rFont val="Arial"/>
            <family val="2"/>
          </rPr>
          <t xml:space="preserve">FY2023 AR p.39 — 11.37%</t>
        </r>
      </text>
    </comment>
    <comment ref="F28" authorId="0">
      <text>
        <r>
          <rPr>
            <sz val="10"/>
            <rFont val="Arial"/>
            <family val="2"/>
          </rPr>
          <t xml:space="preserve">FY2023 AR p.39</t>
        </r>
      </text>
    </comment>
    <comment ref="F29" authorId="0">
      <text>
        <r>
          <rPr>
            <sz val="10"/>
            <rFont val="Arial"/>
            <family val="2"/>
          </rPr>
          <t xml:space="preserve">FY2023 AR p.39 — 9.43%</t>
        </r>
      </text>
    </comment>
    <comment ref="F32" authorId="0">
      <text>
        <r>
          <rPr>
            <sz val="10"/>
            <rFont val="Arial"/>
            <family val="2"/>
          </rPr>
          <t xml:space="preserve">FY2023 AR p.49 — Q4 2023</t>
        </r>
      </text>
    </comment>
    <comment ref="F33" authorId="0">
      <text>
        <r>
          <rPr>
            <sz val="10"/>
            <rFont val="Arial"/>
            <family val="2"/>
          </rPr>
          <t xml:space="preserve">FY2023 AR p.49 — Q4 2023 incl transfers</t>
        </r>
      </text>
    </comment>
    <comment ref="G6" authorId="0">
      <text>
        <r>
          <rPr>
            <sz val="10"/>
            <rFont val="Arial"/>
            <family val="2"/>
          </rPr>
          <t xml:space="preserve">FY2024 AR p.3</t>
        </r>
      </text>
    </comment>
    <comment ref="G7" authorId="0">
      <text>
        <r>
          <rPr>
            <sz val="10"/>
            <rFont val="Arial"/>
            <family val="2"/>
          </rPr>
          <t xml:space="preserve">FY2024 AR p.3</t>
        </r>
      </text>
    </comment>
    <comment ref="G8" authorId="0">
      <text>
        <r>
          <rPr>
            <sz val="10"/>
            <rFont val="Arial"/>
            <family val="2"/>
          </rPr>
          <t xml:space="preserve">FY2024 AR p.5</t>
        </r>
      </text>
    </comment>
    <comment ref="G9" authorId="0">
      <text>
        <r>
          <rPr>
            <sz val="10"/>
            <rFont val="Arial"/>
            <family val="2"/>
          </rPr>
          <t xml:space="preserve">FY2024 AR p.6</t>
        </r>
      </text>
    </comment>
    <comment ref="G12" authorId="0">
      <text>
        <r>
          <rPr>
            <sz val="10"/>
            <rFont val="Arial"/>
            <family val="2"/>
          </rPr>
          <t xml:space="preserve">FY2024 AR p.3</t>
        </r>
      </text>
    </comment>
    <comment ref="G13" authorId="0">
      <text>
        <r>
          <rPr>
            <sz val="10"/>
            <rFont val="Arial"/>
            <family val="2"/>
          </rPr>
          <t xml:space="preserve">FY2024 AR p.3</t>
        </r>
      </text>
    </comment>
    <comment ref="G16" authorId="0">
      <text>
        <r>
          <rPr>
            <sz val="10"/>
            <rFont val="Arial"/>
            <family val="2"/>
          </rPr>
          <t xml:space="preserve">FY2024 AR p.36</t>
        </r>
      </text>
    </comment>
    <comment ref="G17" authorId="0">
      <text>
        <r>
          <rPr>
            <sz val="10"/>
            <rFont val="Arial"/>
            <family val="2"/>
          </rPr>
          <t xml:space="preserve">FY2024 AR p.34</t>
        </r>
      </text>
    </comment>
    <comment ref="G18" authorId="0">
      <text>
        <r>
          <rPr>
            <sz val="10"/>
            <rFont val="Arial"/>
            <family val="2"/>
          </rPr>
          <t xml:space="preserve">FY2024 AR p.34</t>
        </r>
      </text>
    </comment>
    <comment ref="G21" authorId="0">
      <text>
        <r>
          <rPr>
            <sz val="10"/>
            <rFont val="Arial"/>
            <family val="2"/>
          </rPr>
          <t xml:space="preserve">FY2024 AR p.36</t>
        </r>
      </text>
    </comment>
    <comment ref="G22" authorId="0">
      <text>
        <r>
          <rPr>
            <sz val="10"/>
            <rFont val="Arial"/>
            <family val="2"/>
          </rPr>
          <t xml:space="preserve">FY2024 AR p.36 — 8.63%</t>
        </r>
      </text>
    </comment>
    <comment ref="G23" authorId="0">
      <text>
        <r>
          <rPr>
            <sz val="10"/>
            <rFont val="Arial"/>
            <family val="2"/>
          </rPr>
          <t xml:space="preserve">FY2024 AR p.36</t>
        </r>
      </text>
    </comment>
    <comment ref="G24" authorId="0">
      <text>
        <r>
          <rPr>
            <sz val="10"/>
            <rFont val="Arial"/>
            <family val="2"/>
          </rPr>
          <t xml:space="preserve">FY2024 AR p.36</t>
        </r>
      </text>
    </comment>
    <comment ref="G26" authorId="0">
      <text>
        <r>
          <rPr>
            <sz val="10"/>
            <rFont val="Arial"/>
            <family val="2"/>
          </rPr>
          <t xml:space="preserve">FY2024 AR p.34</t>
        </r>
      </text>
    </comment>
    <comment ref="G27" authorId="0">
      <text>
        <r>
          <rPr>
            <sz val="10"/>
            <rFont val="Arial"/>
            <family val="2"/>
          </rPr>
          <t xml:space="preserve">FY2024 AR p.34 — 9.16%</t>
        </r>
      </text>
    </comment>
    <comment ref="G28" authorId="0">
      <text>
        <r>
          <rPr>
            <sz val="10"/>
            <rFont val="Arial"/>
            <family val="2"/>
          </rPr>
          <t xml:space="preserve">FY2024 AR p.34</t>
        </r>
      </text>
    </comment>
    <comment ref="G29" authorId="0">
      <text>
        <r>
          <rPr>
            <sz val="10"/>
            <rFont val="Arial"/>
            <family val="2"/>
          </rPr>
          <t xml:space="preserve">FY2024 AR p.34 — 5.55%</t>
        </r>
      </text>
    </comment>
    <comment ref="G32" authorId="0">
      <text>
        <r>
          <rPr>
            <sz val="10"/>
            <rFont val="Arial"/>
            <family val="2"/>
          </rPr>
          <t xml:space="preserve">FY2024 AR — stabilized apartments</t>
        </r>
      </text>
    </comment>
    <comment ref="G33" authorId="0">
      <text>
        <r>
          <rPr>
            <sz val="10"/>
            <rFont val="Arial"/>
            <family val="2"/>
          </rPr>
          <t xml:space="preserve">FY2024 AR — stabilized apartments</t>
        </r>
      </text>
    </comment>
    <comment ref="G42" authorId="0">
      <text>
        <r>
          <rPr>
            <sz val="10"/>
            <rFont val="Arial"/>
            <family val="2"/>
          </rPr>
          <t xml:space="preserve">FY2024 AR p.40</t>
        </r>
      </text>
    </comment>
    <comment ref="G43" authorId="0">
      <text>
        <r>
          <rPr>
            <sz val="10"/>
            <rFont val="Arial"/>
            <family val="2"/>
          </rPr>
          <t xml:space="preserve">FY2024 AR p.40</t>
        </r>
      </text>
    </comment>
    <comment ref="G44" authorId="0">
      <text>
        <r>
          <rPr>
            <sz val="10"/>
            <rFont val="Arial"/>
            <family val="2"/>
          </rPr>
          <t xml:space="preserve">FY2024 AR p.40</t>
        </r>
      </text>
    </comment>
    <comment ref="G45" authorId="0">
      <text>
        <r>
          <rPr>
            <sz val="10"/>
            <rFont val="Arial"/>
            <family val="2"/>
          </rPr>
          <t xml:space="preserve">FY2024 AR p.40</t>
        </r>
      </text>
    </comment>
    <comment ref="G46" authorId="0">
      <text>
        <r>
          <rPr>
            <sz val="10"/>
            <rFont val="Arial"/>
            <family val="2"/>
          </rPr>
          <t xml:space="preserve">FY2024 AR p.40</t>
        </r>
      </text>
    </comment>
    <comment ref="G47" authorId="0">
      <text>
        <r>
          <rPr>
            <sz val="10"/>
            <rFont val="Arial"/>
            <family val="2"/>
          </rPr>
          <t xml:space="preserve">FY2024 AR p.40</t>
        </r>
      </text>
    </comment>
    <comment ref="G48" authorId="0">
      <text>
        <r>
          <rPr>
            <sz val="10"/>
            <rFont val="Arial"/>
            <family val="2"/>
          </rPr>
          <t xml:space="preserve">FY2024 AR p.40</t>
        </r>
      </text>
    </comment>
    <comment ref="G49" authorId="0">
      <text>
        <r>
          <rPr>
            <sz val="10"/>
            <rFont val="Arial"/>
            <family val="2"/>
          </rPr>
          <t xml:space="preserve">FY2024 AR p.40</t>
        </r>
      </text>
    </comment>
    <comment ref="H6" authorId="0">
      <text>
        <r>
          <rPr>
            <sz val="10"/>
            <rFont val="Arial"/>
            <family val="2"/>
          </rPr>
          <t xml:space="preserve">Q3 2025 MD&amp;A p.4</t>
        </r>
      </text>
    </comment>
    <comment ref="H7" authorId="0">
      <text>
        <r>
          <rPr>
            <sz val="10"/>
            <rFont val="Arial"/>
            <family val="2"/>
          </rPr>
          <t xml:space="preserve">Q3 2025 MD&amp;A p.4</t>
        </r>
      </text>
    </comment>
    <comment ref="H8" authorId="0">
      <text>
        <r>
          <rPr>
            <sz val="10"/>
            <rFont val="Arial"/>
            <family val="2"/>
          </rPr>
          <t xml:space="preserve">Q3 2025 MD&amp;A p.4</t>
        </r>
      </text>
    </comment>
    <comment ref="H9" authorId="0">
      <text>
        <r>
          <rPr>
            <sz val="10"/>
            <rFont val="Arial"/>
            <family val="2"/>
          </rPr>
          <t xml:space="preserve">Q3 2025 MD&amp;A — approx</t>
        </r>
      </text>
    </comment>
    <comment ref="H12" authorId="0">
      <text>
        <r>
          <rPr>
            <sz val="10"/>
            <rFont val="Arial"/>
            <family val="2"/>
          </rPr>
          <t xml:space="preserve">Q3 2025 MD&amp;A</t>
        </r>
      </text>
    </comment>
    <comment ref="H13" authorId="0">
      <text>
        <r>
          <rPr>
            <sz val="10"/>
            <rFont val="Arial"/>
            <family val="2"/>
          </rPr>
          <t xml:space="preserve">Q3 2025 MD&amp;A</t>
        </r>
      </text>
    </comment>
    <comment ref="H16" authorId="0">
      <text>
        <r>
          <rPr>
            <sz val="10"/>
            <rFont val="Arial"/>
            <family val="2"/>
          </rPr>
          <t xml:space="preserve">Q3 2025 MD&amp;A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7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8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9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10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11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B19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20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21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22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23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24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B32" authorId="0">
      <text>
        <r>
          <rPr>
            <sz val="10"/>
            <rFont val="Arial"/>
            <family val="2"/>
          </rPr>
          <t xml:space="preserve">FY2024 AR Note 9 p.28 FS</t>
        </r>
      </text>
    </comment>
    <comment ref="B33" authorId="0">
      <text>
        <r>
          <rPr>
            <sz val="10"/>
            <rFont val="Arial"/>
            <family val="2"/>
          </rPr>
          <t xml:space="preserve">FY2024 AR Note 9 p.28 FS</t>
        </r>
      </text>
    </comment>
    <comment ref="B34" authorId="0">
      <text>
        <r>
          <rPr>
            <sz val="10"/>
            <rFont val="Arial"/>
            <family val="2"/>
          </rPr>
          <t xml:space="preserve">FY2024 AR Note 9 p.28 FS</t>
        </r>
      </text>
    </comment>
    <comment ref="B35" authorId="0">
      <text>
        <r>
          <rPr>
            <sz val="10"/>
            <rFont val="Arial"/>
            <family val="2"/>
          </rPr>
          <t xml:space="preserve">FY2024 AR Note 9 p.28 FS</t>
        </r>
      </text>
    </comment>
    <comment ref="B37" authorId="0">
      <text>
        <r>
          <rPr>
            <sz val="10"/>
            <rFont val="Arial"/>
            <family val="2"/>
          </rPr>
          <t xml:space="preserve">FY2024 AR Note 9 — overall WA</t>
        </r>
      </text>
    </comment>
    <comment ref="B38" authorId="0">
      <text>
        <r>
          <rPr>
            <sz val="10"/>
            <rFont val="Arial"/>
            <family val="2"/>
          </rPr>
          <t xml:space="preserve">FY2024 AR Note 9</t>
        </r>
      </text>
    </comment>
    <comment ref="B39" authorId="0">
      <text>
        <r>
          <rPr>
            <sz val="10"/>
            <rFont val="Arial"/>
            <family val="2"/>
          </rPr>
          <t xml:space="preserve">FY2024 AR Note 23</t>
        </r>
      </text>
    </comment>
    <comment ref="B40" authorId="0">
      <text>
        <r>
          <rPr>
            <sz val="10"/>
            <rFont val="Arial"/>
            <family val="2"/>
          </rPr>
          <t xml:space="preserve">FY2024 AR Note 9</t>
        </r>
      </text>
    </comment>
    <comment ref="B44" authorId="0">
      <text>
        <r>
          <rPr>
            <sz val="10"/>
            <rFont val="Arial"/>
            <family val="2"/>
          </rPr>
          <t xml:space="preserve">DOT — 75% GBV limit</t>
        </r>
      </text>
    </comment>
    <comment ref="C6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7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8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9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10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11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C19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20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21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22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23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24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C34" authorId="0">
      <text>
        <r>
          <rPr>
            <sz val="10"/>
            <rFont val="Arial"/>
            <family val="2"/>
          </rPr>
          <t xml:space="preserve">Q3 2025 Note 9</t>
        </r>
      </text>
    </comment>
    <comment ref="C37" authorId="0">
      <text>
        <r>
          <rPr>
            <sz val="10"/>
            <rFont val="Arial"/>
            <family val="2"/>
          </rPr>
          <t xml:space="preserve">Q3 2025 MD&amp;A p.4</t>
        </r>
      </text>
    </comment>
    <comment ref="C38" authorId="0">
      <text>
        <r>
          <rPr>
            <sz val="10"/>
            <rFont val="Arial"/>
            <family val="2"/>
          </rPr>
          <t xml:space="preserve">Q3 2025 MD&amp;A p.4</t>
        </r>
      </text>
    </comment>
    <comment ref="C39" authorId="0">
      <text>
        <r>
          <rPr>
            <sz val="10"/>
            <rFont val="Arial"/>
            <family val="2"/>
          </rPr>
          <t xml:space="preserve">Q3 2025 — same $300M facility</t>
        </r>
      </text>
    </comment>
    <comment ref="C40" authorId="0">
      <text>
        <r>
          <rPr>
            <sz val="10"/>
            <rFont val="Arial"/>
            <family val="2"/>
          </rPr>
          <t xml:space="preserve">Q3 2025 Note 9</t>
        </r>
      </text>
    </comment>
    <comment ref="C44" authorId="0">
      <text>
        <r>
          <rPr>
            <sz val="10"/>
            <rFont val="Arial"/>
            <family val="2"/>
          </rPr>
          <t xml:space="preserve">DOT</t>
        </r>
      </text>
    </comment>
    <comment ref="D13" authorId="0">
      <text>
        <r>
          <rPr>
            <sz val="10"/>
            <rFont val="Arial"/>
            <family val="2"/>
          </rPr>
          <t xml:space="preserve">FY2024 AR Note 9 p.29 FS</t>
        </r>
      </text>
    </comment>
    <comment ref="D26" authorId="0">
      <text>
        <r>
          <rPr>
            <sz val="10"/>
            <rFont val="Arial"/>
            <family val="2"/>
          </rPr>
          <t xml:space="preserve">Q3 2025 Note 9 p.27 FS</t>
        </r>
      </text>
    </comment>
    <comment ref="D32" authorId="0">
      <text>
        <r>
          <rPr>
            <sz val="10"/>
            <rFont val="Arial"/>
            <family val="2"/>
          </rPr>
          <t xml:space="preserve">FY2024 AR Note 9</t>
        </r>
      </text>
    </comment>
    <comment ref="D33" authorId="0">
      <text>
        <r>
          <rPr>
            <sz val="10"/>
            <rFont val="Arial"/>
            <family val="2"/>
          </rPr>
          <t xml:space="preserve">FY2024 AR Note 9</t>
        </r>
      </text>
    </comment>
    <comment ref="D34" authorId="0">
      <text>
        <r>
          <rPr>
            <sz val="10"/>
            <rFont val="Arial"/>
            <family val="2"/>
          </rPr>
          <t xml:space="preserve">FY2024 AR Note 9</t>
        </r>
      </text>
    </comment>
    <comment ref="D35" authorId="0">
      <text>
        <r>
          <rPr>
            <sz val="10"/>
            <rFont val="Arial"/>
            <family val="2"/>
          </rPr>
          <t xml:space="preserve">FY2024 AR Note 9</t>
        </r>
      </text>
    </comment>
    <comment ref="E32" authorId="0">
      <text>
        <r>
          <rPr>
            <sz val="10"/>
            <rFont val="Arial"/>
            <family val="2"/>
          </rPr>
          <t xml:space="preserve">FY2024 AR Note 9</t>
        </r>
      </text>
    </comment>
    <comment ref="E33" authorId="0">
      <text>
        <r>
          <rPr>
            <sz val="10"/>
            <rFont val="Arial"/>
            <family val="2"/>
          </rPr>
          <t xml:space="preserve">FY2024 AR Note 9</t>
        </r>
      </text>
    </comment>
    <comment ref="E35" authorId="0">
      <text>
        <r>
          <rPr>
            <sz val="10"/>
            <rFont val="Arial"/>
            <family val="2"/>
          </rPr>
          <t xml:space="preserve">FY2024 AR Note 9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6" authorId="0">
      <text>
        <r>
          <rPr>
            <sz val="10"/>
            <rFont val="Arial"/>
            <family val="2"/>
          </rPr>
          <t xml:space="preserve">FY2020 AR Note 4 p.21</t>
        </r>
      </text>
    </comment>
    <comment ref="C7" authorId="0">
      <text>
        <r>
          <rPr>
            <sz val="10"/>
            <rFont val="Arial"/>
            <family val="2"/>
          </rPr>
          <t xml:space="preserve">FY2020 AR Note 4</t>
        </r>
      </text>
    </comment>
    <comment ref="C10" authorId="0">
      <text>
        <r>
          <rPr>
            <sz val="10"/>
            <rFont val="Arial"/>
            <family val="2"/>
          </rPr>
          <t xml:space="preserve">FY2020 AR CFS</t>
        </r>
      </text>
    </comment>
    <comment ref="C11" authorId="0">
      <text>
        <r>
          <rPr>
            <sz val="10"/>
            <rFont val="Arial"/>
            <family val="2"/>
          </rPr>
          <t xml:space="preserve">FY2020 AR Note 4</t>
        </r>
      </text>
    </comment>
    <comment ref="C13" authorId="0">
      <text>
        <r>
          <rPr>
            <sz val="10"/>
            <rFont val="Arial"/>
            <family val="2"/>
          </rPr>
          <t xml:space="preserve">FY2020 — dispositions $14,500 held for sale</t>
        </r>
      </text>
    </comment>
    <comment ref="D6" authorId="0">
      <text>
        <r>
          <rPr>
            <sz val="10"/>
            <rFont val="Arial"/>
            <family val="2"/>
          </rPr>
          <t xml:space="preserve">FY2021 AR Note 4</t>
        </r>
      </text>
    </comment>
    <comment ref="D7" authorId="0">
      <text>
        <r>
          <rPr>
            <sz val="10"/>
            <rFont val="Arial"/>
            <family val="2"/>
          </rPr>
          <t xml:space="preserve">FY2021 AR Note 4</t>
        </r>
      </text>
    </comment>
    <comment ref="D10" authorId="0">
      <text>
        <r>
          <rPr>
            <sz val="10"/>
            <rFont val="Arial"/>
            <family val="2"/>
          </rPr>
          <t xml:space="preserve">FY2021 AR CFS</t>
        </r>
      </text>
    </comment>
    <comment ref="D11" authorId="0">
      <text>
        <r>
          <rPr>
            <sz val="10"/>
            <rFont val="Arial"/>
            <family val="2"/>
          </rPr>
          <t xml:space="preserve">FY2021 AR Note 4</t>
        </r>
      </text>
    </comment>
    <comment ref="E6" authorId="0">
      <text>
        <r>
          <rPr>
            <sz val="10"/>
            <rFont val="Arial"/>
            <family val="2"/>
          </rPr>
          <t xml:space="preserve">FY2023 AR Note 4 — FY2022 beginning = FY2021 ending</t>
        </r>
      </text>
    </comment>
    <comment ref="E7" authorId="0">
      <text>
        <r>
          <rPr>
            <sz val="10"/>
            <rFont val="Arial"/>
            <family val="2"/>
          </rPr>
          <t xml:space="preserve">FY2022 AR Note 4</t>
        </r>
      </text>
    </comment>
    <comment ref="E10" authorId="0">
      <text>
        <r>
          <rPr>
            <sz val="10"/>
            <rFont val="Arial"/>
            <family val="2"/>
          </rPr>
          <t xml:space="preserve">FY2022 AR CFS</t>
        </r>
      </text>
    </comment>
    <comment ref="E11" authorId="0">
      <text>
        <r>
          <rPr>
            <sz val="10"/>
            <rFont val="Arial"/>
            <family val="2"/>
          </rPr>
          <t xml:space="preserve">FY2022 AR Note 16</t>
        </r>
      </text>
    </comment>
    <comment ref="F6" authorId="0">
      <text>
        <r>
          <rPr>
            <sz val="10"/>
            <rFont val="Arial"/>
            <family val="2"/>
          </rPr>
          <t xml:space="preserve">FY2023 AR Note 4</t>
        </r>
      </text>
    </comment>
    <comment ref="F7" authorId="0">
      <text>
        <r>
          <rPr>
            <sz val="10"/>
            <rFont val="Arial"/>
            <family val="2"/>
          </rPr>
          <t xml:space="preserve">FY2023 AR Note 4</t>
        </r>
      </text>
    </comment>
    <comment ref="F8" authorId="0">
      <text>
        <r>
          <rPr>
            <sz val="10"/>
            <rFont val="Arial"/>
            <family val="2"/>
          </rPr>
          <t xml:space="preserve">FY2023 AR Note 4</t>
        </r>
      </text>
    </comment>
    <comment ref="F9" authorId="0">
      <text>
        <r>
          <rPr>
            <sz val="10"/>
            <rFont val="Arial"/>
            <family val="2"/>
          </rPr>
          <t xml:space="preserve">FY2023 AR Note 4</t>
        </r>
      </text>
    </comment>
    <comment ref="F10" authorId="0">
      <text>
        <r>
          <rPr>
            <sz val="10"/>
            <rFont val="Arial"/>
            <family val="2"/>
          </rPr>
          <t xml:space="preserve">FY2023 AR Note 4</t>
        </r>
      </text>
    </comment>
    <comment ref="F11" authorId="0">
      <text>
        <r>
          <rPr>
            <sz val="10"/>
            <rFont val="Arial"/>
            <family val="2"/>
          </rPr>
          <t xml:space="preserve">FY2023 AR Note 4 — operating + development</t>
        </r>
      </text>
    </comment>
    <comment ref="F12" authorId="0">
      <text>
        <r>
          <rPr>
            <sz val="10"/>
            <rFont val="Arial"/>
            <family val="2"/>
          </rPr>
          <t xml:space="preserve">FY2023 AR Note 4</t>
        </r>
      </text>
    </comment>
    <comment ref="G6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7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8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9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10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11" authorId="0">
      <text>
        <r>
          <rPr>
            <sz val="10"/>
            <rFont val="Arial"/>
            <family val="2"/>
          </rPr>
          <t xml:space="preserve">FY2024 AR Note 4 — operating $185,161 + development $10,211</t>
        </r>
      </text>
    </comment>
    <comment ref="G12" authorId="0">
      <text>
        <r>
          <rPr>
            <sz val="10"/>
            <rFont val="Arial"/>
            <family val="2"/>
          </rPr>
          <t xml:space="preserve">FY2024 AR Note 4 p.15 FS</t>
        </r>
      </text>
    </comment>
    <comment ref="G13" authorId="0">
      <text>
        <r>
          <rPr>
            <sz val="10"/>
            <rFont val="Arial"/>
            <family val="2"/>
          </rPr>
          <t xml:space="preserve">FY2024 AR Note 4</t>
        </r>
      </text>
    </comment>
    <comment ref="G23" authorId="0">
      <text>
        <r>
          <rPr>
            <sz val="10"/>
            <rFont val="Arial"/>
            <family val="2"/>
          </rPr>
          <t xml:space="preserve">FY2024 AR Note 5 p.20 — under development EAI</t>
        </r>
      </text>
    </comment>
    <comment ref="G24" authorId="0">
      <text>
        <r>
          <rPr>
            <sz val="10"/>
            <rFont val="Arial"/>
            <family val="2"/>
          </rPr>
          <t xml:space="preserve">FY2024 AR Note 5 p.20 — operational EAI</t>
        </r>
      </text>
    </comment>
    <comment ref="G33" authorId="0">
      <text>
        <r>
          <rPr>
            <sz val="10"/>
            <rFont val="Arial"/>
            <family val="2"/>
          </rPr>
          <t xml:space="preserve">FY2024 AR p.43</t>
        </r>
      </text>
    </comment>
    <comment ref="G34" authorId="0">
      <text>
        <r>
          <rPr>
            <sz val="10"/>
            <rFont val="Arial"/>
            <family val="2"/>
          </rPr>
          <t xml:space="preserve">FY2024 AR p.43</t>
        </r>
      </text>
    </comment>
    <comment ref="G36" authorId="0">
      <text>
        <r>
          <rPr>
            <sz val="10"/>
            <rFont val="Arial"/>
            <family val="2"/>
          </rPr>
          <t xml:space="preserve">FY2024 AR p.51 — vacancy &amp; stabilization in NFFO recon</t>
        </r>
      </text>
    </comment>
    <comment ref="H6" authorId="0">
      <text>
        <r>
          <rPr>
            <sz val="10"/>
            <rFont val="Arial"/>
            <family val="2"/>
          </rPr>
          <t xml:space="preserve">Q3 2025 — beginning = FY2024 ending</t>
        </r>
      </text>
    </comment>
    <comment ref="H7" authorId="0">
      <text>
        <r>
          <rPr>
            <sz val="10"/>
            <rFont val="Arial"/>
            <family val="2"/>
          </rPr>
          <t xml:space="preserve">Q3 2025 — no acquisitions YTD</t>
        </r>
      </text>
    </comment>
    <comment ref="H8" authorId="0">
      <text>
        <r>
          <rPr>
            <sz val="10"/>
            <rFont val="Arial"/>
            <family val="2"/>
          </rPr>
          <t xml:space="preserve">Q3 2025 CFS — IP development costs YTD</t>
        </r>
      </text>
    </comment>
    <comment ref="H9" authorId="0">
      <text>
        <r>
          <rPr>
            <sz val="10"/>
            <rFont val="Arial"/>
            <family val="2"/>
          </rPr>
          <t xml:space="preserve">Q3 2025 CFS</t>
        </r>
      </text>
    </comment>
    <comment ref="H10" authorId="0">
      <text>
        <r>
          <rPr>
            <sz val="10"/>
            <rFont val="Arial"/>
            <family val="2"/>
          </rPr>
          <t xml:space="preserve">Q3 2025 CFS</t>
        </r>
      </text>
    </comment>
    <comment ref="H14" authorId="0">
      <text>
        <r>
          <rPr>
            <sz val="10"/>
            <rFont val="Arial"/>
            <family val="2"/>
          </rPr>
          <t xml:space="preserve">Q3 2025 BS p.1 — total IP</t>
        </r>
      </text>
    </comment>
    <comment ref="H19" authorId="0">
      <text>
        <r>
          <rPr>
            <sz val="10"/>
            <rFont val="Arial"/>
            <family val="2"/>
          </rPr>
          <t xml:space="preserve">Q3 2025 Note 4 p.13 FS — development within $6,492,428 total</t>
        </r>
      </text>
    </comment>
    <comment ref="H20" authorId="0">
      <text>
        <r>
          <rPr>
            <sz val="10"/>
            <rFont val="Arial"/>
            <family val="2"/>
          </rPr>
          <t xml:space="preserve">Q3 2025 Note 4 p.13 — operational = total - development</t>
        </r>
      </text>
    </comment>
    <comment ref="H23" authorId="0">
      <text>
        <r>
          <rPr>
            <sz val="10"/>
            <rFont val="Arial"/>
            <family val="2"/>
          </rPr>
          <t xml:space="preserve">Q3 2025 — approx, from FY2024 Note 5 plus contributions</t>
        </r>
      </text>
    </comment>
    <comment ref="H25" authorId="0">
      <text>
        <r>
          <rPr>
            <sz val="10"/>
            <rFont val="Arial"/>
            <family val="2"/>
          </rPr>
          <t xml:space="preserve">Q3 2025: IP dev $260,168 + EAI dev ~$245,965</t>
        </r>
      </text>
    </comment>
    <comment ref="H33" authorId="0">
      <text>
        <r>
          <rPr>
            <sz val="10"/>
            <rFont val="Arial"/>
            <family val="2"/>
          </rPr>
          <t xml:space="preserve">Q3 2025 MD&amp;A p.27</t>
        </r>
      </text>
    </comment>
    <comment ref="H34" authorId="0">
      <text>
        <r>
          <rPr>
            <sz val="10"/>
            <rFont val="Arial"/>
            <family val="2"/>
          </rPr>
          <t xml:space="preserve">Q3 2025 MD&amp;A p.27</t>
        </r>
      </text>
    </comment>
    <comment ref="H36" authorId="0">
      <text>
        <r>
          <rPr>
            <sz val="10"/>
            <rFont val="Arial"/>
            <family val="2"/>
          </rPr>
          <t xml:space="preserve">Q3 2025 MD&amp;A — YTD vacancy &amp; stabilization</t>
        </r>
      </text>
    </comment>
  </commentList>
</comments>
</file>

<file path=xl/sharedStrings.xml><?xml version="1.0" encoding="utf-8"?>
<sst xmlns="http://schemas.openxmlformats.org/spreadsheetml/2006/main" count="933" uniqueCount="763">
  <si>
    <t xml:space="preserve">CENTURION APARTMENT REIT — FORENSIC DASHBOARD</t>
  </si>
  <si>
    <t xml:space="preserve">All cells formula-linked to model tabs. No hardcodes.</t>
  </si>
  <si>
    <t xml:space="preserve">CAD $000s except per-unit and ratios</t>
  </si>
  <si>
    <t xml:space="preserve">FY2019</t>
  </si>
  <si>
    <t xml:space="preserve">FY2020</t>
  </si>
  <si>
    <t xml:space="preserve">FY2021</t>
  </si>
  <si>
    <t xml:space="preserve">FY2022</t>
  </si>
  <si>
    <t xml:space="preserve">FY2023</t>
  </si>
  <si>
    <t xml:space="preserve">FY2024</t>
  </si>
  <si>
    <t xml:space="preserve">Q3 2025</t>
  </si>
  <si>
    <t xml:space="preserve">HERO STATS</t>
  </si>
  <si>
    <t xml:space="preserve">Management Unit Price ($)</t>
  </si>
  <si>
    <t xml:space="preserve">IFRS NAV per Unit ($)</t>
  </si>
  <si>
    <t xml:space="preserve">Analyst NAV per Unit ($)</t>
  </si>
  <si>
    <t xml:space="preserve">Premium: Mgmt Price over IFRS NAV (%)</t>
  </si>
  <si>
    <t xml:space="preserve">Total Units Outstanding (000s)</t>
  </si>
  <si>
    <t xml:space="preserve">INCOME STATEMENT SUMMARY ($000s)</t>
  </si>
  <si>
    <t xml:space="preserve">Revenue</t>
  </si>
  <si>
    <t xml:space="preserve">Property Operating Costs</t>
  </si>
  <si>
    <t xml:space="preserve">NOI</t>
  </si>
  <si>
    <t xml:space="preserve">Interest Income (Lending)</t>
  </si>
  <si>
    <t xml:space="preserve">G&amp;A</t>
  </si>
  <si>
    <t xml:space="preserve">Asset Management Fee</t>
  </si>
  <si>
    <t xml:space="preserve">Trailer Fees</t>
  </si>
  <si>
    <t xml:space="preserve">Finance Costs</t>
  </si>
  <si>
    <t xml:space="preserve">Net Income</t>
  </si>
  <si>
    <t xml:space="preserve">NOI Margin (%)</t>
  </si>
  <si>
    <t xml:space="preserve">Total Fee Burden (G&amp;A + AMF + Trailers) ($000s)</t>
  </si>
  <si>
    <t xml:space="preserve">Fee Burden as % of NOI</t>
  </si>
  <si>
    <t xml:space="preserve">Carried Interest / Performance Allocation ($000s)</t>
  </si>
  <si>
    <t xml:space="preserve">Total Fees Including Carry ($000s)</t>
  </si>
  <si>
    <t xml:space="preserve">Fee Burden excl. Carry (% of NOI)</t>
  </si>
  <si>
    <t xml:space="preserve">Fee Burden incl. Carry (% of NOI)</t>
  </si>
  <si>
    <t xml:space="preserve">THREE-TRACK FFO ($000s)</t>
  </si>
  <si>
    <t xml:space="preserve">Management FFO</t>
  </si>
  <si>
    <t xml:space="preserve">RF-FFO</t>
  </si>
  <si>
    <t xml:space="preserve">RF-AFFO</t>
  </si>
  <si>
    <t xml:space="preserve">WA Diluted Units (000s)</t>
  </si>
  <si>
    <t xml:space="preserve">Mgmt FFO per Unit ($)</t>
  </si>
  <si>
    <t xml:space="preserve">RF-AFFO per Unit ($)</t>
  </si>
  <si>
    <t xml:space="preserve">Distribution per Unit — Class A ($)</t>
  </si>
  <si>
    <t xml:space="preserve">Mgmt FFO Payout (%)</t>
  </si>
  <si>
    <t xml:space="preserve">RF-AFFO Payout (%)</t>
  </si>
  <si>
    <t xml:space="preserve">CFS-FCF &amp; DISTRIBUTIONS ($000s)</t>
  </si>
  <si>
    <t xml:space="preserve">Cash from Operations</t>
  </si>
  <si>
    <t xml:space="preserve">IP Improvements (Existing Portfolio Capex)</t>
  </si>
  <si>
    <t xml:space="preserve">CFS-FCF</t>
  </si>
  <si>
    <t xml:space="preserve">Total Distributions Declared ($000s)</t>
  </si>
  <si>
    <t xml:space="preserve">CFS-FCF Surplus / (Deficit) ($000s)</t>
  </si>
  <si>
    <t xml:space="preserve">BALANCE SHEET &amp; LEVERAGE ($000s)</t>
  </si>
  <si>
    <t xml:space="preserve">Investment Properties</t>
  </si>
  <si>
    <t xml:space="preserve">Equity Accounted Investments</t>
  </si>
  <si>
    <t xml:space="preserve">Total Assets</t>
  </si>
  <si>
    <t xml:space="preserve">Mortgages &amp; Credit Facilities</t>
  </si>
  <si>
    <t xml:space="preserve">Net Assets (IFRS NAV)</t>
  </si>
  <si>
    <t xml:space="preserve">Net Debt</t>
  </si>
  <si>
    <t xml:space="preserve">Debt / GBV (%)</t>
  </si>
  <si>
    <t xml:space="preserve">Net Debt / EBITDA (x)</t>
  </si>
  <si>
    <t xml:space="preserve">WA IFRS Cap Rate (%)</t>
  </si>
  <si>
    <t xml:space="preserve">NAV &amp; VALUATION</t>
  </si>
  <si>
    <t xml:space="preserve">Premium: Mgmt over IFRS (%)</t>
  </si>
  <si>
    <t xml:space="preserve">NNOI ($000s)</t>
  </si>
  <si>
    <t xml:space="preserve">NNOI Premium over IFRS NOI (%)</t>
  </si>
  <si>
    <t xml:space="preserve">FEE EXTRACTION ($000s)</t>
  </si>
  <si>
    <t xml:space="preserve">Carry Allocation (in FV gains)</t>
  </si>
  <si>
    <t xml:space="preserve">Total Fee Extraction</t>
  </si>
  <si>
    <t xml:space="preserve">Total Fee Extraction as % of NOI</t>
  </si>
  <si>
    <t xml:space="preserve">Cumulative Fee Extraction</t>
  </si>
  <si>
    <t xml:space="preserve">DID NNOI DELIVER?</t>
  </si>
  <si>
    <t xml:space="preserve">Prior Year NNOI Gap ($000s)</t>
  </si>
  <si>
    <t xml:space="preserve">Organic Growth Delivered ($000s)</t>
  </si>
  <si>
    <t xml:space="preserve">% of Gap Closed</t>
  </si>
  <si>
    <t xml:space="preserve">Organic Shortfall vs NNOI (%)</t>
  </si>
  <si>
    <t xml:space="preserve">CAPITAL FLOWS ($000s)</t>
  </si>
  <si>
    <t xml:space="preserve">Units Issued (gross)</t>
  </si>
  <si>
    <t xml:space="preserve">Redemption of Units</t>
  </si>
  <si>
    <t xml:space="preserve">Cash Distributions Paid</t>
  </si>
  <si>
    <t xml:space="preserve">DRIP Reinvestment</t>
  </si>
  <si>
    <t xml:space="preserve">Net Capital Flow (Issued + Redeemed)</t>
  </si>
  <si>
    <t xml:space="preserve">Redemption Rate (% of beginning NAV)</t>
  </si>
  <si>
    <t xml:space="preserve">UNIT COUNT BRIDGE (000s)</t>
  </si>
  <si>
    <t xml:space="preserve">Total Units Outstanding</t>
  </si>
  <si>
    <t xml:space="preserve">YoY Unit Growth (%)</t>
  </si>
  <si>
    <t xml:space="preserve">OPERATING METRICS</t>
  </si>
  <si>
    <t xml:space="preserve">SS NOI Growth (%)</t>
  </si>
  <si>
    <t xml:space="preserve">WA Mortgage Rate (%)</t>
  </si>
  <si>
    <t xml:space="preserve">EBITDA ($000s)</t>
  </si>
  <si>
    <t xml:space="preserve">LENDING PORTFOLIO</t>
  </si>
  <si>
    <t xml:space="preserve">Total Lending Portfolio ($000s)</t>
  </si>
  <si>
    <t xml:space="preserve">Lending as % of Total Assets</t>
  </si>
  <si>
    <t xml:space="preserve">Interest Income ($000s)</t>
  </si>
  <si>
    <t xml:space="preserve">CASH SURPLUS WATERFALL ($000s)</t>
  </si>
  <si>
    <t xml:space="preserve">Shows annual cash deficit and how it is funded. The structural sustainability test.</t>
  </si>
  <si>
    <t xml:space="preserve">Less: IP Improvements (Maintenance Capex)</t>
  </si>
  <si>
    <t xml:space="preserve">Less: Cash Distributions Paid</t>
  </si>
  <si>
    <t xml:space="preserve">Less: Cash Redemptions</t>
  </si>
  <si>
    <t xml:space="preserve">Less: Scheduled Debt Amortization</t>
  </si>
  <si>
    <t xml:space="preserve">Cash Deficit Before External Funding</t>
  </si>
  <si>
    <t xml:space="preserve">FUNDED BY:</t>
  </si>
  <si>
    <t xml:space="preserve">New Equity Subscriptions</t>
  </si>
  <si>
    <t xml:space="preserve">Mortgage Advances (net of repayments)</t>
  </si>
  <si>
    <t xml:space="preserve">Credit Facility Draws (net)</t>
  </si>
  <si>
    <t xml:space="preserve">AMPLIFICATION — FEE STRUCTURE COST</t>
  </si>
  <si>
    <t xml:space="preserve">Same properties, same leverage, same NOI growth — public REIT cost structure, no dilution.</t>
  </si>
  <si>
    <t xml:space="preserve">Hypothetical NAV per Unit ($)</t>
  </si>
  <si>
    <t xml:space="preserve">Actual IFRS NAV per Unit ($)</t>
  </si>
  <si>
    <t xml:space="preserve">NAV Gap — Fee Structure Drag ($/unit)</t>
  </si>
  <si>
    <t xml:space="preserve">Hypothetical YoY Total Return (%)</t>
  </si>
  <si>
    <t xml:space="preserve">Actual YoY Total Return — NAV Basis (%)</t>
  </si>
  <si>
    <t xml:space="preserve">Annual Fee Structure Cost (pp)</t>
  </si>
  <si>
    <t xml:space="preserve">Hypothetical AFFO per Unit ($)</t>
  </si>
  <si>
    <t xml:space="preserve">Actual RF-AFFO per Unit ($)</t>
  </si>
  <si>
    <t xml:space="preserve">AFFO Gap — Fee Drag ($/unit)</t>
  </si>
  <si>
    <t xml:space="preserve">FULL-PERIOD SUMMARY</t>
  </si>
  <si>
    <t xml:space="preserve">Hypothetical 5-Year CAGR: FY2020–FY2024 (%)</t>
  </si>
  <si>
    <t xml:space="preserve">Actual 5-Year CAGR: FY2020–FY2024 (%)</t>
  </si>
  <si>
    <t xml:space="preserve">Average Annual Fee Structure Cost (pp)</t>
  </si>
  <si>
    <t xml:space="preserve">Hypothetical Forward CAGR: FY2026E–FY2030E (%)</t>
  </si>
  <si>
    <t xml:space="preserve">Actual Forward CAGR: FY2026E–FY2030E (%)</t>
  </si>
  <si>
    <t xml:space="preserve">Average Annual Fee Structure Cost — Forward (pp)</t>
  </si>
  <si>
    <t xml:space="preserve">THE ACCRETION ENGINE — HOW IT WORKS (AND WHY IT BROKE)</t>
  </si>
  <si>
    <t xml:space="preserve">Centurion raises equity at $24.36 (management price), which is 21% above the $20.10 IFRS book value.</t>
  </si>
  <si>
    <t xml:space="preserve">It buys apartments at market cap rates (~4.8%), but IFRS appraises them at 4.36% — creating an instant FV gain.</t>
  </si>
  <si>
    <t xml:space="preserve">Both premiums accrete to existing unitholders. But the moment capital stops flowing, the fee drag is exposed.</t>
  </si>
  <si>
    <t xml:space="preserve">THE ARBITRAGE</t>
  </si>
  <si>
    <t xml:space="preserve">Management Price ($)</t>
  </si>
  <si>
    <t xml:space="preserve">Issuance Premium (%)</t>
  </si>
  <si>
    <t xml:space="preserve">Market Cap Rate — what properties cost (%)</t>
  </si>
  <si>
    <t xml:space="preserve">IFRS Cap Rate — what IFRS says they're worth (%)</t>
  </si>
  <si>
    <t xml:space="preserve">Cap Rate Spread — instant FV gain source (bps)</t>
  </si>
  <si>
    <t xml:space="preserve">WORKED EXAMPLE — $500M EQUITY RAISE</t>
  </si>
  <si>
    <t xml:space="preserve">Equity Raised ($000s)</t>
  </si>
  <si>
    <t xml:space="preserve">New Units Issued (000s)</t>
  </si>
  <si>
    <t xml:space="preserve">Total Acquisitions at 55% LTV ($000s)</t>
  </si>
  <si>
    <t xml:space="preserve">Acquired NOI ($000s)</t>
  </si>
  <si>
    <t xml:space="preserve">Day-1 FV Gain — IFRS reappraisal ($000s)</t>
  </si>
  <si>
    <t xml:space="preserve">NAV/Unit BEFORE ($)</t>
  </si>
  <si>
    <t xml:space="preserve">NAV/Unit AFTER ($)</t>
  </si>
  <si>
    <t xml:space="preserve">Accretion per Unit ($)</t>
  </si>
  <si>
    <t xml:space="preserve">Accretion (%)</t>
  </si>
  <si>
    <t xml:space="preserve">THE DEPENDENCY</t>
  </si>
  <si>
    <t xml:space="preserve">Annual Cash Deficit — fee drag ($000s)</t>
  </si>
  <si>
    <t xml:space="preserve">Annual Equity Raise Needed to Offset ($000s)</t>
  </si>
  <si>
    <t xml:space="preserve">FY2024 Actual Gross Subscriptions ($000s)</t>
  </si>
  <si>
    <t xml:space="preserve">Q3 2025 YTD Subscriptions — Annualized ($000s)</t>
  </si>
  <si>
    <t xml:space="preserve">THE VERDICT</t>
  </si>
  <si>
    <t xml:space="preserve">The accretion engine worked when gross subscriptions exceeded $450M/year (FY2020–FY2024).</t>
  </si>
  <si>
    <t xml:space="preserve">In Q3 2025, annualized subscriptions fell to ~$433M and redemptions exceeded new capital.</t>
  </si>
  <si>
    <t xml:space="preserve">Without continuous above-NAV capital inflows, the 42% fee burden is fully exposed.</t>
  </si>
  <si>
    <t xml:space="preserve">The product is not self-sustaining on operations alone.</t>
  </si>
  <si>
    <t xml:space="preserve">THREE-TIER CAPEX ANALYSIS ($000s)</t>
  </si>
  <si>
    <t xml:space="preserve">Centurion does not report AFFO or classify capex as maintenance vs value-add.</t>
  </si>
  <si>
    <t xml:space="preserve">Tier 1 is blank. Tier 2 is our estimate. Tier 3 is actual CFS spend.</t>
  </si>
  <si>
    <t xml:space="preserve">Tier 1: Mgmt Maintenance (NOT DISCLOSED)</t>
  </si>
  <si>
    <t xml:space="preserve">Tier 2: RF-AFFO Economic Maintenance (15% of NOI)</t>
  </si>
  <si>
    <t xml:space="preserve">Tier 3: Total Capex — CFS Basis (IP Improvements)</t>
  </si>
  <si>
    <t xml:space="preserve">Tier 2 as % of NOI</t>
  </si>
  <si>
    <t xml:space="preserve">Tier 3 as % of NOI</t>
  </si>
  <si>
    <t xml:space="preserve">Capex per Rental Unit ($) — Tier 3 basis</t>
  </si>
  <si>
    <t xml:space="preserve">  (Peer benchmark: $2,000–$3,000/unit for Canadian apartments)</t>
  </si>
  <si>
    <t xml:space="preserve">CFS-FCF &amp; DISTRIBUTION COVERAGE ($000s)</t>
  </si>
  <si>
    <t xml:space="preserve">Cash from Operations (CFO)</t>
  </si>
  <si>
    <t xml:space="preserve">Less: IP Improvements (Tier 3 Capex)</t>
  </si>
  <si>
    <t xml:space="preserve">CFS-FCF Surplus / (Deficit) vs Distributions</t>
  </si>
  <si>
    <t xml:space="preserve">CFS-FCF Payout Ratio (%)</t>
  </si>
  <si>
    <t xml:space="preserve">CFS-FCF per Unit ($)</t>
  </si>
  <si>
    <t xml:space="preserve">CENTURION APARTMENT REIT — PRO FORMA ASSUMPTIONS</t>
  </si>
  <si>
    <t xml:space="preserve">Yellow cells = toggleable assumptions. Blue = hardcoded inputs. Black = derived formulas.</t>
  </si>
  <si>
    <t xml:space="preserve">FY2024 and Q3 2025 shown for reference. Projections start FY2026.</t>
  </si>
  <si>
    <t xml:space="preserve">FY2026E</t>
  </si>
  <si>
    <t xml:space="preserve">FY2027E</t>
  </si>
  <si>
    <t xml:space="preserve">FY2028E</t>
  </si>
  <si>
    <t xml:space="preserve">FY2029E</t>
  </si>
  <si>
    <t xml:space="preserve">FY2030E</t>
  </si>
  <si>
    <t xml:space="preserve">FY2024A</t>
  </si>
  <si>
    <t xml:space="preserve">Q3 2025A</t>
  </si>
  <si>
    <t xml:space="preserve">NOI ASSUMPTIONS</t>
  </si>
  <si>
    <t xml:space="preserve">Prior Year NOI ($000s)</t>
  </si>
  <si>
    <t xml:space="preserve">SS NOI Growth (%) — TOGGLE</t>
  </si>
  <si>
    <t xml:space="preserve">Acquisition NOI Contribution ($000s)</t>
  </si>
  <si>
    <t xml:space="preserve">Projected NOI ($000s)</t>
  </si>
  <si>
    <t xml:space="preserve">NOI Margin (%) — TOGGLE</t>
  </si>
  <si>
    <t xml:space="preserve">Implied Revenue ($000s)</t>
  </si>
  <si>
    <t xml:space="preserve">COST ASSUMPTIONS</t>
  </si>
  <si>
    <t xml:space="preserve">G&amp;A as % of Revenue — TOGGLE</t>
  </si>
  <si>
    <t xml:space="preserve">AMF Rate (% of NAV) — TOGGLE</t>
  </si>
  <si>
    <t xml:space="preserve">Trailer Fees as % of Revenue — TOGGLE</t>
  </si>
  <si>
    <t xml:space="preserve">RF-AFFO Maintenance Capex (% of NOI)</t>
  </si>
  <si>
    <t xml:space="preserve">DEBT ASSUMPTIONS</t>
  </si>
  <si>
    <t xml:space="preserve">WA Mortgage Rate (%) — TOGGLE</t>
  </si>
  <si>
    <t xml:space="preserve">Total Debt ($000s) — held constant in base case</t>
  </si>
  <si>
    <t xml:space="preserve">UNIT &amp; DISTRIBUTION ASSUMPTIONS</t>
  </si>
  <si>
    <t xml:space="preserve">DRIP Participation (%)</t>
  </si>
  <si>
    <t xml:space="preserve">Mgmt Unit Price ($) — TOGGLE</t>
  </si>
  <si>
    <t xml:space="preserve">Gross Subscriptions ($000s) — TOGGLE</t>
  </si>
  <si>
    <t xml:space="preserve">Gross Redemptions ($000s) — TOGGLE</t>
  </si>
  <si>
    <t xml:space="preserve">Distributions Declared ($000s)</t>
  </si>
  <si>
    <t xml:space="preserve">DRIP Reinvestment ($000s)</t>
  </si>
  <si>
    <t xml:space="preserve">UNIT COUNT BUILD (000s)</t>
  </si>
  <si>
    <t xml:space="preserve">Beginning Units (000s)</t>
  </si>
  <si>
    <t xml:space="preserve">+ Subscription Units (000s)</t>
  </si>
  <si>
    <t xml:space="preserve">+ DRIP Units (000s)</t>
  </si>
  <si>
    <t xml:space="preserve">- Redemption Units (000s)</t>
  </si>
  <si>
    <t xml:space="preserve">+ Carry Settlement Units (000s)</t>
  </si>
  <si>
    <t xml:space="preserve">Ending Units (000s)</t>
  </si>
  <si>
    <t xml:space="preserve">VALUATION ASSUMPTIONS</t>
  </si>
  <si>
    <t xml:space="preserve">Analyst Cap Rate (%) — TOGGLE</t>
  </si>
  <si>
    <t xml:space="preserve">IFRS Cap Rate — reference</t>
  </si>
  <si>
    <t xml:space="preserve">Less: G&amp;A</t>
  </si>
  <si>
    <t xml:space="preserve">Less: AMF (0.9% × prior year NAV)</t>
  </si>
  <si>
    <t xml:space="preserve">Less: Trailer Fees</t>
  </si>
  <si>
    <t xml:space="preserve">Less: Finance Costs (Debt × WA Rate)</t>
  </si>
  <si>
    <t xml:space="preserve">Less: Carry Allocation (est.)</t>
  </si>
  <si>
    <t xml:space="preserve">Less: Current Tax</t>
  </si>
  <si>
    <t xml:space="preserve">Cash Earnings Before Capex</t>
  </si>
  <si>
    <t xml:space="preserve">Less: Maintenance Capex (% of NOI)</t>
  </si>
  <si>
    <t xml:space="preserve">Cash Available for Distributions</t>
  </si>
  <si>
    <t xml:space="preserve">Less: Cash Distributions Paid (excl DRIP)</t>
  </si>
  <si>
    <t xml:space="preserve">EQUITY EROSION — FROM MANAGEMENT UNIT PRICE</t>
  </si>
  <si>
    <t xml:space="preserve">Investor pays management price. Deficit from underfunded distributions erodes that equity.</t>
  </si>
  <si>
    <t xml:space="preserve">Management Unit Price — Entry ($)</t>
  </si>
  <si>
    <t xml:space="preserve">Beginning Equity at Mgmt Price ($000s)</t>
  </si>
  <si>
    <t xml:space="preserve">+ NOI Growth Benefit ($000s)</t>
  </si>
  <si>
    <t xml:space="preserve">- Annual Cash Burn (Cash Avail − Cash Dist)</t>
  </si>
  <si>
    <t xml:space="preserve">+ New Equity from Net Subscriptions ($000s)</t>
  </si>
  <si>
    <t xml:space="preserve">+ DRIP Reinvestment ($000s) — NOT CASH, dilution only</t>
  </si>
  <si>
    <t xml:space="preserve">Ending Equity at Mgmt Price ($000s)</t>
  </si>
  <si>
    <t xml:space="preserve">Implied Mgmt Price per Unit ($)</t>
  </si>
  <si>
    <t xml:space="preserve">YoY Change in Economic Value (%)</t>
  </si>
  <si>
    <t xml:space="preserve">PER-UNIT INVESTOR RETURN</t>
  </si>
  <si>
    <t xml:space="preserve">Beginning Value (Mgmt Price) ($)</t>
  </si>
  <si>
    <t xml:space="preserve">Ending Economic Value per Unit ($)</t>
  </si>
  <si>
    <t xml:space="preserve">Cash Distribution Received ($)</t>
  </si>
  <si>
    <t xml:space="preserve">YoY Total Economic Return (%)</t>
  </si>
  <si>
    <t xml:space="preserve">  Capital Component (%)</t>
  </si>
  <si>
    <t xml:space="preserve">  Income Component (%)</t>
  </si>
  <si>
    <t xml:space="preserve">FORWARD CASH SURPLUS WATERFALL ($000s)</t>
  </si>
  <si>
    <t xml:space="preserve">5-YEAR CUMULATIVE</t>
  </si>
  <si>
    <t xml:space="preserve">Entry Price ($)</t>
  </si>
  <si>
    <t xml:space="preserve">FY2030E Economic Value per Unit ($)</t>
  </si>
  <si>
    <t xml:space="preserve">Cumulative Cash Distributions ($)</t>
  </si>
  <si>
    <t xml:space="preserve">Total Economic Return ($)</t>
  </si>
  <si>
    <t xml:space="preserve">Total Economic Return (%)</t>
  </si>
  <si>
    <t xml:space="preserve">5-Year CAGR (%)</t>
  </si>
  <si>
    <t xml:space="preserve">USES</t>
  </si>
  <si>
    <t xml:space="preserve">Maintenance Capex</t>
  </si>
  <si>
    <t xml:space="preserve">Cash Distributions (excl DRIP)</t>
  </si>
  <si>
    <t xml:space="preserve">Cash Redemptions</t>
  </si>
  <si>
    <t xml:space="preserve">Scheduled Debt Amortization</t>
  </si>
  <si>
    <t xml:space="preserve">Total Cash Uses</t>
  </si>
  <si>
    <t xml:space="preserve">NET CASH SURPLUS / (DEFICIT)</t>
  </si>
  <si>
    <t xml:space="preserve">Cumulative Deficit</t>
  </si>
  <si>
    <t xml:space="preserve">FUNDED BY (to close the gap):</t>
  </si>
  <si>
    <t xml:space="preserve">Net Mortgage Refinancing (new draws − repayments)</t>
  </si>
  <si>
    <t xml:space="preserve">Credit Facility Draw / (Repay)</t>
  </si>
  <si>
    <t xml:space="preserve">Cumulative CF Balance ($000s)</t>
  </si>
  <si>
    <t xml:space="preserve">CF Capacity</t>
  </si>
  <si>
    <t xml:space="preserve">CF Headroom / (BREACH)</t>
  </si>
  <si>
    <t xml:space="preserve">CENTURION APARTMENT REIT — CONSOLIDATED BALANCE SHEET</t>
  </si>
  <si>
    <t xml:space="preserve">CAD $000s | Blue=hardcoded from FS | Black=formula | Green=cross-sheet</t>
  </si>
  <si>
    <t xml:space="preserve">Sources: Audited Annual Financial Statements. FY2019 from FY2020 AR comparatives.</t>
  </si>
  <si>
    <t xml:space="preserve">Q3 2025
(Sep 30)</t>
  </si>
  <si>
    <t xml:space="preserve">ASSETS</t>
  </si>
  <si>
    <t xml:space="preserve">Investment Properties Held for Sale</t>
  </si>
  <si>
    <t xml:space="preserve">Participating Loan Interests</t>
  </si>
  <si>
    <t xml:space="preserve">Mortgage Investments</t>
  </si>
  <si>
    <t xml:space="preserve">Receivables and Other Assets</t>
  </si>
  <si>
    <t xml:space="preserve">Restricted Cash</t>
  </si>
  <si>
    <t xml:space="preserve">Cash and Cash Equivalents</t>
  </si>
  <si>
    <t xml:space="preserve">  Check: per filing</t>
  </si>
  <si>
    <t xml:space="preserve">  Variance</t>
  </si>
  <si>
    <t xml:space="preserve">LIABILITIES</t>
  </si>
  <si>
    <t xml:space="preserve">Mortgages Payable and Credit Facilities</t>
  </si>
  <si>
    <t xml:space="preserve">Accounts Payable and Other Liabilities</t>
  </si>
  <si>
    <t xml:space="preserve">Unit Subscriptions Held in Trust</t>
  </si>
  <si>
    <t xml:space="preserve">Deferred Income Tax Liabilities</t>
  </si>
  <si>
    <t xml:space="preserve">Syndicated Mortgage Investment Liabilities</t>
  </si>
  <si>
    <t xml:space="preserve">Current Income Tax Liabilities</t>
  </si>
  <si>
    <t xml:space="preserve">Total Liabilities (excl. Net Assets to Unitholders)</t>
  </si>
  <si>
    <t xml:space="preserve">NET ASSETS ATTRIBUTABLE TO UNITHOLDERS</t>
  </si>
  <si>
    <t xml:space="preserve">Net Assets (Total Assets − Total Liabilities)</t>
  </si>
  <si>
    <t xml:space="preserve">KEY BALANCE SHEET METRICS</t>
  </si>
  <si>
    <t xml:space="preserve">Net Debt (Mortgages + CF − Cash)</t>
  </si>
  <si>
    <t xml:space="preserve">LENDING PORTFOLIO — MORTGAGE INVESTMENTS (Note 6a)</t>
  </si>
  <si>
    <t xml:space="preserve">Gross Mortgage Investments</t>
  </si>
  <si>
    <t xml:space="preserve">Less: ECL Allowance</t>
  </si>
  <si>
    <t xml:space="preserve">Net Mortgage Investments (BS line)</t>
  </si>
  <si>
    <t xml:space="preserve">ECL Staging — Gross Balances:</t>
  </si>
  <si>
    <t xml:space="preserve">  Stage 1 (Performing)</t>
  </si>
  <si>
    <t xml:space="preserve">  Stage 2 (Watch)</t>
  </si>
  <si>
    <t xml:space="preserve">  Stage 3 (Impaired)</t>
  </si>
  <si>
    <t xml:space="preserve">  Stage 3 as % of Gross MI</t>
  </si>
  <si>
    <t xml:space="preserve">Security: First Mortgages (%)</t>
  </si>
  <si>
    <t xml:space="preserve">Security: Second Mortgages (%)</t>
  </si>
  <si>
    <t xml:space="preserve">WA Effective Interest Rate (%)</t>
  </si>
  <si>
    <t xml:space="preserve">PARTICIPATING LOAN INTERESTS (Note 6b)</t>
  </si>
  <si>
    <t xml:space="preserve">Beginning of Year</t>
  </si>
  <si>
    <t xml:space="preserve">Advances</t>
  </si>
  <si>
    <t xml:space="preserve">Interest Income</t>
  </si>
  <si>
    <t xml:space="preserve">Fair Value Losses</t>
  </si>
  <si>
    <t xml:space="preserve">Repayment of Principal</t>
  </si>
  <si>
    <t xml:space="preserve">Repayment of Interest (net of syndication)</t>
  </si>
  <si>
    <t xml:space="preserve">End of Year (= BS line)</t>
  </si>
  <si>
    <t xml:space="preserve">  Check (should = 0)</t>
  </si>
  <si>
    <t xml:space="preserve">TOTAL LENDING PORTFOLIO</t>
  </si>
  <si>
    <t xml:space="preserve">Mortgage Investments (net)</t>
  </si>
  <si>
    <t xml:space="preserve">Total Lending Portfolio</t>
  </si>
  <si>
    <t xml:space="preserve">CENTURION APARTMENT REIT — CONSOLIDATED STATEMENT OF CASH FLOWS</t>
  </si>
  <si>
    <t xml:space="preserve">CAD $000s | Blue=hardcoded from FS | Black=formula</t>
  </si>
  <si>
    <t xml:space="preserve">Q3 2025
(9-mo YTD)</t>
  </si>
  <si>
    <t xml:space="preserve">OPERATING ACTIVITIES</t>
  </si>
  <si>
    <t xml:space="preserve">Interest income (accrual) reversal</t>
  </si>
  <si>
    <t xml:space="preserve">Interest received (cash)</t>
  </si>
  <si>
    <t xml:space="preserve">ECL allowance / (recovery)</t>
  </si>
  <si>
    <t xml:space="preserve">Net fair value gains (reversal)</t>
  </si>
  <si>
    <t xml:space="preserve">Income from EAI (reversal)</t>
  </si>
  <si>
    <t xml:space="preserve">Finance costs (add back)</t>
  </si>
  <si>
    <t xml:space="preserve">Amortization of PP&amp;E</t>
  </si>
  <si>
    <t xml:space="preserve">Unrealized FX (gain) / loss</t>
  </si>
  <si>
    <t xml:space="preserve">Income tax (recovery) / expense</t>
  </si>
  <si>
    <t xml:space="preserve">Income tax payments</t>
  </si>
  <si>
    <t xml:space="preserve">Changes in non-cash working capital</t>
  </si>
  <si>
    <t xml:space="preserve">Cash from Operating Activities (CFO)</t>
  </si>
  <si>
    <t xml:space="preserve">FINANCING ACTIVITIES</t>
  </si>
  <si>
    <t xml:space="preserve">Unit Issue Costs</t>
  </si>
  <si>
    <t xml:space="preserve">Cash Distributions to Unitholders</t>
  </si>
  <si>
    <t xml:space="preserve">Capitalized Financing Fees</t>
  </si>
  <si>
    <t xml:space="preserve">Mortgage Advances and Refinancing</t>
  </si>
  <si>
    <t xml:space="preserve">Mortgage and Loan Repayments</t>
  </si>
  <si>
    <t xml:space="preserve">Credit Facility Advances / (Repayments)</t>
  </si>
  <si>
    <t xml:space="preserve">Finance Costs Paid</t>
  </si>
  <si>
    <t xml:space="preserve">Cash from / (used in) Financing Activities</t>
  </si>
  <si>
    <t xml:space="preserve">INVESTING ACTIVITIES</t>
  </si>
  <si>
    <t xml:space="preserve">IP Acquisitions</t>
  </si>
  <si>
    <t xml:space="preserve">IP Acquisition Costs</t>
  </si>
  <si>
    <t xml:space="preserve">IP Development Costs</t>
  </si>
  <si>
    <t xml:space="preserve">IP Acquisition Deposits</t>
  </si>
  <si>
    <t xml:space="preserve">Investment in Leased Assets</t>
  </si>
  <si>
    <t xml:space="preserve">PP&amp;E Acquisitions</t>
  </si>
  <si>
    <t xml:space="preserve">PLI Funded</t>
  </si>
  <si>
    <t xml:space="preserve">PLI Repaid</t>
  </si>
  <si>
    <t xml:space="preserve">EAI Funded</t>
  </si>
  <si>
    <t xml:space="preserve">EAI Distributions Received</t>
  </si>
  <si>
    <t xml:space="preserve">MI Principal Repaid (net of syndication)</t>
  </si>
  <si>
    <t xml:space="preserve">MI Principal Funded (net of syndication)</t>
  </si>
  <si>
    <t xml:space="preserve">IP Dispositions</t>
  </si>
  <si>
    <t xml:space="preserve">Cash used in Investing Activities</t>
  </si>
  <si>
    <t xml:space="preserve">CASH BRIDGE</t>
  </si>
  <si>
    <t xml:space="preserve">Net Change in Cash</t>
  </si>
  <si>
    <t xml:space="preserve">Cash, Beginning of Year</t>
  </si>
  <si>
    <t xml:space="preserve">Cash, End of Year</t>
  </si>
  <si>
    <t xml:space="preserve">  Check: BS Cash (should = 0)</t>
  </si>
  <si>
    <t xml:space="preserve">CENTURION APARTMENT REIT — CONSOLIDATED INCOME STATEMENT</t>
  </si>
  <si>
    <t xml:space="preserve">CAD $000s | Blue=hardcoded from FS | Black=formula | Green=cross-sheet link</t>
  </si>
  <si>
    <t xml:space="preserve">Sources: Audited Annual Financial Statements (FS) unless noted. Page refs are to FS section.</t>
  </si>
  <si>
    <t xml:space="preserve">  Rental Income</t>
  </si>
  <si>
    <t xml:space="preserve">  Ancillary &amp; Other Income</t>
  </si>
  <si>
    <t xml:space="preserve">  Expense Recoveries</t>
  </si>
  <si>
    <t xml:space="preserve">Total Revenue from Investment Properties</t>
  </si>
  <si>
    <t xml:space="preserve">  Memo: Mgmt Revenue (incl. EAI reclassified as IP)</t>
  </si>
  <si>
    <t xml:space="preserve">Property Operating Expenses</t>
  </si>
  <si>
    <t xml:space="preserve">Net Operating Income (IFRS NOI)</t>
  </si>
  <si>
    <t xml:space="preserve">  NOI Margin (%)</t>
  </si>
  <si>
    <t xml:space="preserve">Below-NOI Items</t>
  </si>
  <si>
    <t xml:space="preserve">Interest Income (Lending, net of syndicated liabilities)</t>
  </si>
  <si>
    <t xml:space="preserve">Allowance for Expected Credit Losses</t>
  </si>
  <si>
    <t xml:space="preserve">Income from Equity Accounted Investments</t>
  </si>
  <si>
    <t xml:space="preserve">Net Fair Value Gains (Losses)</t>
  </si>
  <si>
    <t xml:space="preserve">Trailer Fee Expense</t>
  </si>
  <si>
    <t xml:space="preserve">Other Income / (Expenses)</t>
  </si>
  <si>
    <t xml:space="preserve">  Check: Trailer + Other = IS "Other income and expenses"</t>
  </si>
  <si>
    <t xml:space="preserve">  IS "Other income and expenses" per filing</t>
  </si>
  <si>
    <t xml:space="preserve">General &amp; Administrative Expenses</t>
  </si>
  <si>
    <t xml:space="preserve">Asset Management Fees</t>
  </si>
  <si>
    <t xml:space="preserve">Foreign Currency Gain / (Loss)</t>
  </si>
  <si>
    <t xml:space="preserve">Net Income Before Taxes</t>
  </si>
  <si>
    <t xml:space="preserve">Current Income Tax (Expense)</t>
  </si>
  <si>
    <t xml:space="preserve">Deferred Income Tax (Expense) / Recovery</t>
  </si>
  <si>
    <t xml:space="preserve">Total Income Tax</t>
  </si>
  <si>
    <t xml:space="preserve">Net Income and Comprehensive Income</t>
  </si>
  <si>
    <t xml:space="preserve">  Check: NI per Filing</t>
  </si>
  <si>
    <t xml:space="preserve">  Variance (should = 0)</t>
  </si>
  <si>
    <t xml:space="preserve">Net Income per Unit ($)</t>
  </si>
  <si>
    <t xml:space="preserve">FINANCE COSTS BREAKDOWN ($000s)</t>
  </si>
  <si>
    <t xml:space="preserve">  Interest on Mortgage Payables</t>
  </si>
  <si>
    <t xml:space="preserve">  Interest on Credit Facility</t>
  </si>
  <si>
    <t xml:space="preserve">  Other Interest Expense</t>
  </si>
  <si>
    <t xml:space="preserve">  Amortization of Financing Fees</t>
  </si>
  <si>
    <t xml:space="preserve">  Amortization of CMHC Premiums</t>
  </si>
  <si>
    <t xml:space="preserve">G&amp;A BREAKDOWN ($000s)</t>
  </si>
  <si>
    <t xml:space="preserve">  Salaries and Wages</t>
  </si>
  <si>
    <t xml:space="preserve">  Communications &amp; IT</t>
  </si>
  <si>
    <t xml:space="preserve">  Office Expenses</t>
  </si>
  <si>
    <t xml:space="preserve">  Fund Administration Costs</t>
  </si>
  <si>
    <t xml:space="preserve">  Professional Fees</t>
  </si>
  <si>
    <t xml:space="preserve">  Advertising</t>
  </si>
  <si>
    <t xml:space="preserve">  Amortization of PP&amp;E</t>
  </si>
  <si>
    <t xml:space="preserve">G&amp;A Breakdown Sum</t>
  </si>
  <si>
    <t xml:space="preserve">  Check: IS G&amp;A (should = sum above)</t>
  </si>
  <si>
    <t xml:space="preserve">IFRS NOI vs MANAGEMENT NNOI ($000s)</t>
  </si>
  <si>
    <t xml:space="preserve">IFRS NOI (Reported)</t>
  </si>
  <si>
    <t xml:space="preserve">  + NOI from EAI reclassified as IP</t>
  </si>
  <si>
    <t xml:space="preserve">Management NOI (incl EAI)</t>
  </si>
  <si>
    <t xml:space="preserve">    Check: Mgmt NOI per Filing</t>
  </si>
  <si>
    <t xml:space="preserve">NNOI (Management Normalized — VALUATION INPUT)</t>
  </si>
  <si>
    <t xml:space="preserve">NNOI Premium over IFRS NOI ($000s)</t>
  </si>
  <si>
    <t xml:space="preserve">NNOI Premium (%)</t>
  </si>
  <si>
    <t xml:space="preserve">  Of which: Rent-to-Market Gap</t>
  </si>
  <si>
    <t xml:space="preserve">  Of which: Vacancy &amp; Stabilization</t>
  </si>
  <si>
    <t xml:space="preserve">DID NNOI DELIVER? — ORGANIC GROWTH TEST</t>
  </si>
  <si>
    <t xml:space="preserve">Tests whether organic SS NOI growth closed the prior year NNOI-to-NOI gap. Strips out acquisition noise.</t>
  </si>
  <si>
    <t xml:space="preserve">Prior Year IFRS NOI ($000s)</t>
  </si>
  <si>
    <t xml:space="preserve">SS NOI Growth — Actual (%)</t>
  </si>
  <si>
    <t xml:space="preserve">Implied Organic NOI Growth ($000s)</t>
  </si>
  <si>
    <t xml:space="preserve">% of Prior NNOI Gap Closed by Organic Growth</t>
  </si>
  <si>
    <t xml:space="preserve">Prior NOI + Organic Growth = "Should Have Been" NOI</t>
  </si>
  <si>
    <t xml:space="preserve">Prior Year NNOI (what mgmt claimed was coming)</t>
  </si>
  <si>
    <t xml:space="preserve">Organic Shortfall vs Prior NNOI ($000s)</t>
  </si>
  <si>
    <t xml:space="preserve">Organic Shortfall (%)</t>
  </si>
  <si>
    <t xml:space="preserve">Negative = organic growth did NOT reach management's prior NNOI. The gap is unrealized income that never materialized.</t>
  </si>
  <si>
    <t xml:space="preserve">If consistently negative, NNOI systematically overstates earning power → property values inflated → NAV inflated → fees inflated.</t>
  </si>
  <si>
    <t xml:space="preserve">EAI — TRUST'S SHARE (Note 5, p.19 FS)</t>
  </si>
  <si>
    <t xml:space="preserve">Rental Revenue</t>
  </si>
  <si>
    <t xml:space="preserve">Income from Operations</t>
  </si>
  <si>
    <t xml:space="preserve">Interest Expense</t>
  </si>
  <si>
    <t xml:space="preserve">Preferred Interest — Operational</t>
  </si>
  <si>
    <t xml:space="preserve">Preferred Interest — Under Development</t>
  </si>
  <si>
    <t xml:space="preserve">Fair Value and Currency Translation Adjustment</t>
  </si>
  <si>
    <t xml:space="preserve">Net Income (Trust's Share)</t>
  </si>
  <si>
    <t xml:space="preserve">FFO RECONCILIATION ($000s)</t>
  </si>
  <si>
    <t xml:space="preserve">Management FFO is NON-STANDARD — adds back AMF, trailers, amort. RF-FFO strips those add-backs.</t>
  </si>
  <si>
    <t xml:space="preserve">Management FFO (non-standard)</t>
  </si>
  <si>
    <t xml:space="preserve">Less: AMF add-back (real cash expense)</t>
  </si>
  <si>
    <t xml:space="preserve">Less: Trailer fee add-back (real cash expense)</t>
  </si>
  <si>
    <t xml:space="preserve">Less: Realized gains add-back</t>
  </si>
  <si>
    <t xml:space="preserve">RF-FFO (strips non-standard add-backs)</t>
  </si>
  <si>
    <t xml:space="preserve">RF-FFO per Unit ($)</t>
  </si>
  <si>
    <t xml:space="preserve">RF-AFFO BUILD ($000s)</t>
  </si>
  <si>
    <t xml:space="preserve">NOI less all cash costs less economic maintenance capex. Toggle maintenance rate in Assumptions.</t>
  </si>
  <si>
    <t xml:space="preserve">NOI (IFRS)</t>
  </si>
  <si>
    <t xml:space="preserve">Less: Cash G&amp;A</t>
  </si>
  <si>
    <t xml:space="preserve">Less: Asset Management Fee</t>
  </si>
  <si>
    <t xml:space="preserve">Less: Cash Interest (Finance Costs)</t>
  </si>
  <si>
    <t xml:space="preserve">Less: Current Income Tax</t>
  </si>
  <si>
    <t xml:space="preserve">Pre-Capex Cash Earnings</t>
  </si>
  <si>
    <t xml:space="preserve">Less: Economic Maintenance Capex (15% of NOI)</t>
  </si>
  <si>
    <t xml:space="preserve">PAYOUT RATIOS</t>
  </si>
  <si>
    <t xml:space="preserve">RF-FFO Payout (%)</t>
  </si>
  <si>
    <t xml:space="preserve">THREE-TIER CAPEX COMPARISON ($000s)</t>
  </si>
  <si>
    <t xml:space="preserve">Tier 1: Mgmt Maintenance (NOT DISCLOSED — Centurion reports no AFFO)</t>
  </si>
  <si>
    <t xml:space="preserve">UNIT COUNT BY CLASS (000s, end of period)</t>
  </si>
  <si>
    <t xml:space="preserve">Class A</t>
  </si>
  <si>
    <t xml:space="preserve">Class F</t>
  </si>
  <si>
    <t xml:space="preserve">Class I</t>
  </si>
  <si>
    <t xml:space="preserve">Class M</t>
  </si>
  <si>
    <t xml:space="preserve">Exchangeable LP</t>
  </si>
  <si>
    <t xml:space="preserve">NOI + Interest Income - ECL - G&amp;A - AMF - Trailers + Other Income</t>
  </si>
  <si>
    <t xml:space="preserve">EBITDA</t>
  </si>
  <si>
    <t xml:space="preserve">EBITDA Margin (% of Revenue)</t>
  </si>
  <si>
    <t xml:space="preserve">FAIR VALUE GAINS BREAKDOWN ($000s)</t>
  </si>
  <si>
    <t xml:space="preserve">  FV Adj on Investment Properties</t>
  </si>
  <si>
    <t xml:space="preserve">  FV from IP held within EAI</t>
  </si>
  <si>
    <t xml:space="preserve">  FV Adj on PLI</t>
  </si>
  <si>
    <t xml:space="preserve">  Carry Allocation</t>
  </si>
  <si>
    <t xml:space="preserve">  Sum (check vs IS R24)</t>
  </si>
  <si>
    <t xml:space="preserve">  IS Net FV Gains (R24)</t>
  </si>
  <si>
    <t xml:space="preserve">REALPAC FFO — STANDARD INDUSTRY METRIC ($000s)</t>
  </si>
  <si>
    <t xml:space="preserve">NI + FV reversal + deferred tax + amort. No fee add-backs. What Centurion does not report.</t>
  </si>
  <si>
    <t xml:space="preserve">+ Net FV Gains (reversal)</t>
  </si>
  <si>
    <t xml:space="preserve">+ Deferred Income Tax (reversal)</t>
  </si>
  <si>
    <t xml:space="preserve">+ Amortization of Financing Fees</t>
  </si>
  <si>
    <t xml:space="preserve">+ Amortization of CMHC</t>
  </si>
  <si>
    <t xml:space="preserve">+ Unrealized FX (reversal)</t>
  </si>
  <si>
    <t xml:space="preserve">REALPAC FFO</t>
  </si>
  <si>
    <t xml:space="preserve">REALPAC FFO per Unit ($)</t>
  </si>
  <si>
    <t xml:space="preserve">REALPAC FFO Payout (%)</t>
  </si>
  <si>
    <t xml:space="preserve">CARRIED INTEREST / PERFORMANCE ALLOCATION</t>
  </si>
  <si>
    <t xml:space="preserve">Pre-Sep 2023: Class M units. Post-Sep 2023: 15% carry above 7.25% hurdle.</t>
  </si>
  <si>
    <t xml:space="preserve">All post-2023 carry settled in units (not cash). Class M was redeemed for cash.</t>
  </si>
  <si>
    <t xml:space="preserve">CLASS M UNIT MECHANISM (FY2019–FY2023)</t>
  </si>
  <si>
    <t xml:space="preserve">M Units — Beginning of Period (000s)</t>
  </si>
  <si>
    <t xml:space="preserve">M Units Issued to Management (000s)</t>
  </si>
  <si>
    <t xml:space="preserve">  (Formula: investor units / 0.95 − investor units)</t>
  </si>
  <si>
    <t xml:space="preserve">M Units Redeemed (000s)</t>
  </si>
  <si>
    <t xml:space="preserve">M Units — Cash Extracted ($000s)</t>
  </si>
  <si>
    <t xml:space="preserve">M Unit Conversion to Class A (000s)</t>
  </si>
  <si>
    <t xml:space="preserve">M Units — End of Period (000s)</t>
  </si>
  <si>
    <t xml:space="preserve">PERFORMANCE CARRY (Post-Sep 2023)</t>
  </si>
  <si>
    <t xml:space="preserve">Carry Accrued ($000s)</t>
  </si>
  <si>
    <t xml:space="preserve">Settlement: Cash ($000s)</t>
  </si>
  <si>
    <t xml:space="preserve">Settlement: Units Issued ($000s)</t>
  </si>
  <si>
    <t xml:space="preserve">Units Issued for Carry (000s)</t>
  </si>
  <si>
    <t xml:space="preserve">Cumulative Carry + M Extraction ($000s)</t>
  </si>
  <si>
    <t xml:space="preserve">CENTURION APARTMENT REIT — RETURN PROFILE</t>
  </si>
  <si>
    <t xml:space="preserve">Private REIT — management-set unit price, not market-discovered. Exit = redemption at mgmt NAV, subject to gates.</t>
  </si>
  <si>
    <t xml:space="preserve">Q3 2025
(9-mo)</t>
  </si>
  <si>
    <t xml:space="preserve">PER-UNIT VIEW</t>
  </si>
  <si>
    <t xml:space="preserve">Units Outstanding EoY (000s)</t>
  </si>
  <si>
    <t xml:space="preserve">Distribution per Unit — Class F ($)</t>
  </si>
  <si>
    <t xml:space="preserve">VALUATION &amp; RATIOS</t>
  </si>
  <si>
    <t xml:space="preserve">IFRS WA Cap Rate (%)</t>
  </si>
  <si>
    <t xml:space="preserve">RF-AFFO Payout Ratio (%)</t>
  </si>
  <si>
    <t xml:space="preserve">HISTORICAL RETURNS — NAV BASIS</t>
  </si>
  <si>
    <t xml:space="preserve">Based on IFRS NAV per unit change + distributions. What a unitholder actually earned on book value.</t>
  </si>
  <si>
    <t xml:space="preserve">Beginning IFRS NAV/Unit ($)</t>
  </si>
  <si>
    <t xml:space="preserve">Ending IFRS NAV/Unit ($)</t>
  </si>
  <si>
    <t xml:space="preserve">Distribution — Class A ($)</t>
  </si>
  <si>
    <t xml:space="preserve">Total Return — NAV Basis (%)</t>
  </si>
  <si>
    <t xml:space="preserve">  NAV Growth Component (%)</t>
  </si>
  <si>
    <t xml:space="preserve">  Distribution Yield Component (%)</t>
  </si>
  <si>
    <t xml:space="preserve">Cumulative NAV Return (indexed from FY2020)</t>
  </si>
  <si>
    <t xml:space="preserve">CAGR from FY2020 (%)</t>
  </si>
  <si>
    <t xml:space="preserve">HISTORICAL RETURNS — MANAGEMENT PRICE BASIS</t>
  </si>
  <si>
    <t xml:space="preserve">Based on management-set unit price change + distributions. This is what management SAYS you earned.</t>
  </si>
  <si>
    <t xml:space="preserve">Beginning Mgmt Price ($)</t>
  </si>
  <si>
    <t xml:space="preserve">Ending Mgmt Price ($)</t>
  </si>
  <si>
    <t xml:space="preserve">Total Return — Mgmt Price Basis (%)</t>
  </si>
  <si>
    <t xml:space="preserve">THREE IMPLIED CAP RATES — Q3 2025 ANNUALIZED</t>
  </si>
  <si>
    <t xml:space="preserve">Point-in-time valuation check. All three should converge if management pricing is fair.</t>
  </si>
  <si>
    <t xml:space="preserve">IFRS NOI — Q3 2025 YTD 9-mo ($000s)</t>
  </si>
  <si>
    <t xml:space="preserve">Annualized NOI ($000s)</t>
  </si>
  <si>
    <t xml:space="preserve">SS NOI Growth Assumption (%)</t>
  </si>
  <si>
    <t xml:space="preserve">NTM NOI Estimate ($000s)</t>
  </si>
  <si>
    <t xml:space="preserve">NNOI — per Management ($000s)</t>
  </si>
  <si>
    <t xml:space="preserve">IP Fair Value — Q3 2025 ($000s)</t>
  </si>
  <si>
    <t xml:space="preserve">EAI Carrying Value ($000s)</t>
  </si>
  <si>
    <t xml:space="preserve">Total Real Estate Value ($000s)</t>
  </si>
  <si>
    <t xml:space="preserve">1. NNOI Cap Rate (management's stated)</t>
  </si>
  <si>
    <t xml:space="preserve">2. NTM NOI Cap Rate (our estimate on real earnings)</t>
  </si>
  <si>
    <t xml:space="preserve">Mgmt Unit Price ($)</t>
  </si>
  <si>
    <t xml:space="preserve">Units Outstanding (000s)</t>
  </si>
  <si>
    <t xml:space="preserve">Implied Equity Value ($000s)</t>
  </si>
  <si>
    <t xml:space="preserve">Net Debt ($000s)</t>
  </si>
  <si>
    <t xml:space="preserve">Non-RE Assets (Lending + Receivables + Cash) ($000s)</t>
  </si>
  <si>
    <t xml:space="preserve">Implied RE Value at Mgmt Price ($000s)</t>
  </si>
  <si>
    <t xml:space="preserve">3. Implied Cap Rate at Mgmt Unit Price</t>
  </si>
  <si>
    <t xml:space="preserve">Gap: NNOI Cap vs NTM Cap (bps)</t>
  </si>
  <si>
    <t xml:space="preserve">Gap: Mgmt Price Cap vs NTM Cap (bps)</t>
  </si>
  <si>
    <t xml:space="preserve">ANALYST NAV — RF INDEPENDENT VALUATION</t>
  </si>
  <si>
    <t xml:space="preserve">NTM NOI / Analyst Cap Rate = IP Value. Add non-RE assets, subtract debt = equity. Divide by units.</t>
  </si>
  <si>
    <t xml:space="preserve">Analyst Cap Rate (%)</t>
  </si>
  <si>
    <t xml:space="preserve">NTM NOI ($000s)</t>
  </si>
  <si>
    <t xml:space="preserve">Implied IP Value at Analyst Cap Rate ($000s)</t>
  </si>
  <si>
    <t xml:space="preserve">  IFRS IP Fair Value ($000s)</t>
  </si>
  <si>
    <t xml:space="preserve">  Discount / (Premium) to IFRS (%)</t>
  </si>
  <si>
    <t xml:space="preserve">Non-RE Assets ($000s)</t>
  </si>
  <si>
    <t xml:space="preserve">Total Asset Value ($000s)</t>
  </si>
  <si>
    <t xml:space="preserve">Less: Total Liabilities ($000s)</t>
  </si>
  <si>
    <t xml:space="preserve">Analyst NAV ($000s)</t>
  </si>
  <si>
    <t xml:space="preserve">Analyst NAV vs IFRS NAV (%)</t>
  </si>
  <si>
    <t xml:space="preserve">Analyst NAV vs Mgmt Price (%)</t>
  </si>
  <si>
    <t xml:space="preserve">FORWARD ECONOMIC RETURN — FROM MANAGEMENT UNIT PRICE</t>
  </si>
  <si>
    <t xml:space="preserve">Investor buys at management price. Returns = cash received + change in economic equity.</t>
  </si>
  <si>
    <t xml:space="preserve">Economic equity erodes as fees and underfunded distributions consume the equity base.</t>
  </si>
  <si>
    <t xml:space="preserve">Implied Economic Value per Unit ($)</t>
  </si>
  <si>
    <t xml:space="preserve">Cash Distribution per Unit ($)</t>
  </si>
  <si>
    <t xml:space="preserve">5-YEAR CUMULATIVE (from management price entry)</t>
  </si>
  <si>
    <t xml:space="preserve">Cumulative Cash Distributions Received ($)</t>
  </si>
  <si>
    <t xml:space="preserve">Capital Gain / (Loss) ($)</t>
  </si>
  <si>
    <t xml:space="preserve">CENTURION APARTMENT REIT — OPERATING METRICS</t>
  </si>
  <si>
    <t xml:space="preserve">Blue=hardcoded from FS/MD&amp;A | Green=cross-sheet link</t>
  </si>
  <si>
    <t xml:space="preserve">PORTFOLIO SIZE</t>
  </si>
  <si>
    <t xml:space="preserve">Total Rental Units (undiluted)</t>
  </si>
  <si>
    <t xml:space="preserve">Total Properties</t>
  </si>
  <si>
    <t xml:space="preserve">Apartment Units (undiluted)</t>
  </si>
  <si>
    <t xml:space="preserve">Student Housing Beds</t>
  </si>
  <si>
    <t xml:space="preserve">OCCUPANCY</t>
  </si>
  <si>
    <t xml:space="preserve">Overall Portfolio Occupancy (%)</t>
  </si>
  <si>
    <t xml:space="preserve">Stabilized Property Occupancy (%)</t>
  </si>
  <si>
    <t xml:space="preserve">AVERAGE RENT ($/month, end of period rent roll)</t>
  </si>
  <si>
    <t xml:space="preserve">Portfolio Average</t>
  </si>
  <si>
    <t xml:space="preserve">Apartment</t>
  </si>
  <si>
    <t xml:space="preserve">Student Housing</t>
  </si>
  <si>
    <t xml:space="preserve">SAME-STORE NOI ($000s)</t>
  </si>
  <si>
    <t xml:space="preserve">Total SS NOI</t>
  </si>
  <si>
    <t xml:space="preserve">Total SS NOI Growth (%)</t>
  </si>
  <si>
    <t xml:space="preserve">Total SS Revenue</t>
  </si>
  <si>
    <t xml:space="preserve">SS NOI Margin (%)</t>
  </si>
  <si>
    <t xml:space="preserve">Apartment SS NOI</t>
  </si>
  <si>
    <t xml:space="preserve">Apartment SS NOI Growth (%)</t>
  </si>
  <si>
    <t xml:space="preserve">Student SS NOI</t>
  </si>
  <si>
    <t xml:space="preserve">Student SS NOI Growth (%)</t>
  </si>
  <si>
    <t xml:space="preserve">LEASE SPREADS (Stabilized Canadian Apartments)</t>
  </si>
  <si>
    <t xml:space="preserve">Renewal Spread (%)</t>
  </si>
  <si>
    <t xml:space="preserve">New Tenant Spread (%)</t>
  </si>
  <si>
    <t xml:space="preserve">PER-UNIT OPERATING METRICS</t>
  </si>
  <si>
    <t xml:space="preserve">IFRS NOI ($000s)</t>
  </si>
  <si>
    <t xml:space="preserve">Total Rental Units</t>
  </si>
  <si>
    <t xml:space="preserve">NOI per Unit ($)</t>
  </si>
  <si>
    <t xml:space="preserve">Revenue per Unit ($)</t>
  </si>
  <si>
    <t xml:space="preserve">GEOGRAPHIC CONCENTRATION — BY ASSET VALUE (FY2024)</t>
  </si>
  <si>
    <t xml:space="preserve">Ontario</t>
  </si>
  <si>
    <t xml:space="preserve">Quebec</t>
  </si>
  <si>
    <t xml:space="preserve">British Columbia</t>
  </si>
  <si>
    <t xml:space="preserve">Alberta</t>
  </si>
  <si>
    <t xml:space="preserve">Manitoba</t>
  </si>
  <si>
    <t xml:space="preserve">Saskatchewan</t>
  </si>
  <si>
    <t xml:space="preserve">Nova Scotia</t>
  </si>
  <si>
    <t xml:space="preserve">U.S. (TX + MN)</t>
  </si>
  <si>
    <t xml:space="preserve">CENTURION APARTMENT REIT — DEBT MATURITY PROFILE</t>
  </si>
  <si>
    <t xml:space="preserve">Source: FY2024 AR Note 9 p.29 FS; Q3 2025 Note 9 p.27 FS</t>
  </si>
  <si>
    <t xml:space="preserve">MATURITY SCHEDULE — AS AT DEC 31, 2024 ($000s)</t>
  </si>
  <si>
    <t xml:space="preserve">Principal
Repayments</t>
  </si>
  <si>
    <t xml:space="preserve">Balance at
Maturity</t>
  </si>
  <si>
    <t xml:space="preserve">Total</t>
  </si>
  <si>
    <t xml:space="preserve">2025</t>
  </si>
  <si>
    <t xml:space="preserve">2026</t>
  </si>
  <si>
    <t xml:space="preserve">2027</t>
  </si>
  <si>
    <t xml:space="preserve">2028</t>
  </si>
  <si>
    <t xml:space="preserve">2029</t>
  </si>
  <si>
    <t xml:space="preserve">Thereafter</t>
  </si>
  <si>
    <t xml:space="preserve">Total (gross)</t>
  </si>
  <si>
    <t xml:space="preserve">Less: Unamortized financing fees</t>
  </si>
  <si>
    <t xml:space="preserve">Net Mortgages Payable &amp; CF</t>
  </si>
  <si>
    <t xml:space="preserve">  Check: BS Mortgages &amp; CF</t>
  </si>
  <si>
    <t xml:space="preserve">MATURITY SCHEDULE — AS AT SEP 30, 2025 ($000s)</t>
  </si>
  <si>
    <t xml:space="preserve">Sep 30, 2026</t>
  </si>
  <si>
    <t xml:space="preserve">Sep 30, 2027</t>
  </si>
  <si>
    <t xml:space="preserve">Sep 30, 2028</t>
  </si>
  <si>
    <t xml:space="preserve">Sep 30, 2029</t>
  </si>
  <si>
    <t xml:space="preserve">Sep 30, 2030</t>
  </si>
  <si>
    <t xml:space="preserve">  Check: BS Mortgages &amp; CF (Q3 2025)</t>
  </si>
  <si>
    <t xml:space="preserve">DEBT COMPOSITION ($000s)</t>
  </si>
  <si>
    <t xml:space="preserve">Dec 31, 2024</t>
  </si>
  <si>
    <t xml:space="preserve">Sep 30, 2025</t>
  </si>
  <si>
    <t xml:space="preserve">WA Rate</t>
  </si>
  <si>
    <t xml:space="preserve">WA Maturity
(years)</t>
  </si>
  <si>
    <t xml:space="preserve">First Mortgages on IP</t>
  </si>
  <si>
    <t xml:space="preserve">Construction / Land Loan</t>
  </si>
  <si>
    <t xml:space="preserve">Line of Credit</t>
  </si>
  <si>
    <t xml:space="preserve">Joint Arrangement Mortgages</t>
  </si>
  <si>
    <t xml:space="preserve">Overall WA Interest Rate (%)</t>
  </si>
  <si>
    <t xml:space="preserve">Overall WA Term to Maturity (years)</t>
  </si>
  <si>
    <t xml:space="preserve">Credit Facility Capacity ($000s)</t>
  </si>
  <si>
    <t xml:space="preserve">CF Drawn</t>
  </si>
  <si>
    <t xml:space="preserve">CF Available</t>
  </si>
  <si>
    <t xml:space="preserve">Debt to GBV (%)</t>
  </si>
  <si>
    <t xml:space="preserve">Covenant Maximum (%)</t>
  </si>
  <si>
    <t xml:space="preserve">Headroom (pp)</t>
  </si>
  <si>
    <t xml:space="preserve">CENTURION APARTMENT REIT — DEVELOPMENT PIPELINE</t>
  </si>
  <si>
    <t xml:space="preserve">Centurion develops through EAI (equity accounted) and direct IP. Both tracked here.</t>
  </si>
  <si>
    <t xml:space="preserve">Q3 2025
(YTD)</t>
  </si>
  <si>
    <t xml:space="preserve">INVESTMENT PROPERTY ROLLFORWARD ($000s)</t>
  </si>
  <si>
    <t xml:space="preserve">Property Acquisitions</t>
  </si>
  <si>
    <t xml:space="preserve">Development Costs</t>
  </si>
  <si>
    <t xml:space="preserve">Acquisition Costs</t>
  </si>
  <si>
    <t xml:space="preserve">Property Improvements</t>
  </si>
  <si>
    <t xml:space="preserve">Fair Value Adjustments</t>
  </si>
  <si>
    <t xml:space="preserve">Reclassification from EAI</t>
  </si>
  <si>
    <t xml:space="preserve">Other / Dispositions</t>
  </si>
  <si>
    <t xml:space="preserve">End of Year</t>
  </si>
  <si>
    <t xml:space="preserve">  Check: BS Investment Properties</t>
  </si>
  <si>
    <t xml:space="preserve">DEVELOPMENT CAPITAL ($000s)</t>
  </si>
  <si>
    <t xml:space="preserve">IP Under Development (within total IP)</t>
  </si>
  <si>
    <t xml:space="preserve">Operational IP</t>
  </si>
  <si>
    <t xml:space="preserve">Development as % of Total IP</t>
  </si>
  <si>
    <t xml:space="preserve">EAI — Development (carrying value)</t>
  </si>
  <si>
    <t xml:space="preserve">EAI — Operational (carrying value)</t>
  </si>
  <si>
    <t xml:space="preserve">Total Development Capital (IP + EAI dev)</t>
  </si>
  <si>
    <t xml:space="preserve">CFS DEVELOPMENT SPENDING ($000s)</t>
  </si>
  <si>
    <t xml:space="preserve">IP Development Costs (CFS)</t>
  </si>
  <si>
    <t xml:space="preserve">EAI Funded (CFS)</t>
  </si>
  <si>
    <t xml:space="preserve">Total Development Cash Deployed</t>
  </si>
  <si>
    <t xml:space="preserve">STABILIZATION STATUS</t>
  </si>
  <si>
    <t xml:space="preserve">Stabilized Units (diluted)</t>
  </si>
  <si>
    <t xml:space="preserve">Unstabilized Units (diluted)</t>
  </si>
  <si>
    <t xml:space="preserve">Unstabilized as % of Total</t>
  </si>
  <si>
    <t xml:space="preserve">Stabilization NOI Opportunity ($000s) — per NFFO</t>
  </si>
  <si>
    <t xml:space="preserve">CENTURION APARTMENT REIT — AMPLIFICATION TEST</t>
  </si>
  <si>
    <t xml:space="preserve">What would unitholders have earned with the same properties and leverage but a public REIT cost structure?</t>
  </si>
  <si>
    <t xml:space="preserve">The difference between hypothetical and actual return = the cost of the external management structure.</t>
  </si>
  <si>
    <t xml:space="preserve">FY2019
(Start)</t>
  </si>
  <si>
    <t xml:space="preserve">STARTING POSITION — FY2019 ACTUAL IFRS BALANCE SHEET ($000s)</t>
  </si>
  <si>
    <t xml:space="preserve">EAI</t>
  </si>
  <si>
    <t xml:space="preserve">Lending (MI + PLI)</t>
  </si>
  <si>
    <t xml:space="preserve">Other Assets (Receivables, Cash, Restricted Cash)</t>
  </si>
  <si>
    <t xml:space="preserve">Total Liabilities</t>
  </si>
  <si>
    <t xml:space="preserve">IFRS NAV ($000s)</t>
  </si>
  <si>
    <t xml:space="preserve">Units Outstanding (000s) — FIXED</t>
  </si>
  <si>
    <t xml:space="preserve">Implied NOI (= IFRS IP × IFRS Cap Rate)</t>
  </si>
  <si>
    <t xml:space="preserve">  (Actual reported NOI: $61,790 — the gap is the NNOI premium)</t>
  </si>
  <si>
    <t xml:space="preserve">HYPOTHETICAL ASSUMPTIONS</t>
  </si>
  <si>
    <t xml:space="preserve">Overhead as % of NOI — public REIT benchmark</t>
  </si>
  <si>
    <t xml:space="preserve">Maintenance Capex (% of NOI)</t>
  </si>
  <si>
    <t xml:space="preserve">Distribution per Unit ($)</t>
  </si>
  <si>
    <t xml:space="preserve">WA Mortgage Rate — Actual (%)</t>
  </si>
  <si>
    <t xml:space="preserve">HYPOTHETICAL P&amp;L — PUBLIC REIT COST STRUCTURE ($000s)</t>
  </si>
  <si>
    <t xml:space="preserve">Prior Year NOI</t>
  </si>
  <si>
    <t xml:space="preserve">Less: Overhead (public REIT basis)</t>
  </si>
  <si>
    <t xml:space="preserve">Less: Finance Costs (starting debt × WA rate)</t>
  </si>
  <si>
    <t xml:space="preserve">Plus: Interest Income (lending — held flat)</t>
  </si>
  <si>
    <t xml:space="preserve">Hypothetical Cash Earnings</t>
  </si>
  <si>
    <t xml:space="preserve">Less: Maintenance Capex</t>
  </si>
  <si>
    <t xml:space="preserve">Hypothetical AFFO</t>
  </si>
  <si>
    <t xml:space="preserve">Less: Distributions (on fixed unit count)</t>
  </si>
  <si>
    <t xml:space="preserve">Cash Surplus / (Deficit)</t>
  </si>
  <si>
    <t xml:space="preserve">HYPOTHETICAL NAV ($000s)</t>
  </si>
  <si>
    <t xml:space="preserve">IP Value (NTM NOI / IFRS Cap Rate)</t>
  </si>
  <si>
    <t xml:space="preserve">EAI (held at starting value)</t>
  </si>
  <si>
    <t xml:space="preserve">Lending (held at starting value)</t>
  </si>
  <si>
    <t xml:space="preserve">Other Assets (held at starting value)</t>
  </si>
  <si>
    <t xml:space="preserve">Total Hypothetical Assets</t>
  </si>
  <si>
    <t xml:space="preserve">Less: Total Liabilities (held at starting)</t>
  </si>
  <si>
    <t xml:space="preserve">Hypothetical NAV ($000s)</t>
  </si>
  <si>
    <t xml:space="preserve">Units Outstanding (FIXED — no dilution)</t>
  </si>
  <si>
    <t xml:space="preserve">COMPARISON — HYPOTHETICAL vs ACTUAL</t>
  </si>
  <si>
    <t xml:space="preserve">Hypothetical NAV/Unit ($)</t>
  </si>
  <si>
    <t xml:space="preserve">Actual IFRS NAV/Unit ($)</t>
  </si>
  <si>
    <t xml:space="preserve">Hypothetical AFFO/Unit ($)</t>
  </si>
  <si>
    <t xml:space="preserve">Actual RF-AFFO/Unit ($)</t>
  </si>
  <si>
    <t xml:space="preserve">TOTAL RETURN COMPARISON</t>
  </si>
  <si>
    <t xml:space="preserve">Beginning NAV/Unit ($)</t>
  </si>
  <si>
    <t xml:space="preserve">Ending NAV/Unit ($)</t>
  </si>
  <si>
    <t xml:space="preserve">Distribution ($)</t>
  </si>
  <si>
    <t xml:space="preserve">Return Gap — Fee Structure Cost (pp)</t>
  </si>
  <si>
    <t xml:space="preserve">Hypothetical Cumulative (indexed from FY2020)</t>
  </si>
  <si>
    <t xml:space="preserve">Actual Cumulative (indexed from FY2020)</t>
  </si>
  <si>
    <t xml:space="preserve">Fee Structure Cost — Historical (pp/yr)</t>
  </si>
  <si>
    <t xml:space="preserve">Actual Forward 5-Year CAGR (%)</t>
  </si>
  <si>
    <t xml:space="preserve">Fee Structure Cost — Forward (pp/yr)</t>
  </si>
  <si>
    <t xml:space="preserve">ACQUISITION ACCRETION CALCULATOR</t>
  </si>
  <si>
    <t xml:space="preserve">Shows NAV/unit impact of raising equity at management price and deploying into acquisitions.</t>
  </si>
  <si>
    <t xml:space="preserve">The bull case: above-NAV issuance is accretive if the acquisition engine works.</t>
  </si>
  <si>
    <t xml:space="preserve">INPUTS</t>
  </si>
  <si>
    <t xml:space="preserve">Current Management Price ($)</t>
  </si>
  <si>
    <t xml:space="preserve">Current IFRS NAV per Unit ($)</t>
  </si>
  <si>
    <t xml:space="preserve">Current Units Outstanding (000s)</t>
  </si>
  <si>
    <t xml:space="preserve">Current IFRS NAV ($000s)</t>
  </si>
  <si>
    <t xml:space="preserve">ACQUISITION SCENARIO</t>
  </si>
  <si>
    <t xml:space="preserve">Equity Raised ($000s) — TOGGLE</t>
  </si>
  <si>
    <t xml:space="preserve">Issuance Price ($)</t>
  </si>
  <si>
    <t xml:space="preserve">Acquisition Cap Rate (%) — TOGGLE</t>
  </si>
  <si>
    <t xml:space="preserve">LTV on Acquisitions (%) — TOGGLE</t>
  </si>
  <si>
    <t xml:space="preserve">WA Mortgage Rate on New Debt (%)</t>
  </si>
  <si>
    <t xml:space="preserve">ACQUISITION MATH</t>
  </si>
  <si>
    <t xml:space="preserve">Total Acquisition Volume ($000s)</t>
  </si>
  <si>
    <t xml:space="preserve">New Debt ($000s)</t>
  </si>
  <si>
    <t xml:space="preserve">Interest on New Debt ($000s)</t>
  </si>
  <si>
    <t xml:space="preserve">Incremental NOI after Financing ($000s)</t>
  </si>
  <si>
    <t xml:space="preserve">IFRS VALUATION OF ACQUIRED PROPERTIES</t>
  </si>
  <si>
    <t xml:space="preserve">IFRS Cap Rate (%)</t>
  </si>
  <si>
    <t xml:space="preserve">IFRS FV of Acquired IP ($000s)</t>
  </si>
  <si>
    <t xml:space="preserve">Day-1 FV Gain ($000s)</t>
  </si>
  <si>
    <t xml:space="preserve">  (Acquired at market cap, appraised at IFRS cap = instant FV gain)</t>
  </si>
  <si>
    <t xml:space="preserve">NAV ACCRETION</t>
  </si>
  <si>
    <t xml:space="preserve">Pre-Acquisition IFRS NAV ($000s)</t>
  </si>
  <si>
    <t xml:space="preserve">+ Equity Raised ($000s)</t>
  </si>
  <si>
    <t xml:space="preserve">+ Day-1 FV Gain ($000s)</t>
  </si>
  <si>
    <t xml:space="preserve">Post-Acquisition IFRS NAV ($000s)</t>
  </si>
  <si>
    <t xml:space="preserve">Post-Acquisition Units (000s)</t>
  </si>
  <si>
    <t xml:space="preserve">Post-Acquisition IFRS NAV per Unit ($)</t>
  </si>
  <si>
    <t xml:space="preserve">Pre-Acquisition IFRS NAV per Unit ($)</t>
  </si>
  <si>
    <t xml:space="preserve">NAV/Unit Accretion ($)</t>
  </si>
  <si>
    <t xml:space="preserve">NAV/Unit Accretion (%)</t>
  </si>
  <si>
    <t xml:space="preserve">WHY IT WORKS — THE PREMIUM ARBITRAGE</t>
  </si>
  <si>
    <t xml:space="preserve">Units issued at mgmt price ($24.36) which is 21% above IFRS NAV ($20.10).</t>
  </si>
  <si>
    <t xml:space="preserve">Properties bought at market (4.8% cap) and appraised at IFRS (4.36% cap).</t>
  </si>
  <si>
    <t xml:space="preserve">Both premiums flow to existing unitholders as NAV/unit accretion.</t>
  </si>
  <si>
    <t xml:space="preserve">WHY IT BREAKS</t>
  </si>
  <si>
    <t xml:space="preserve">The accretion only works while new investors keep subscribing at the premium.</t>
  </si>
  <si>
    <t xml:space="preserve">When capital inflows slow (as in Q3 2025), the fee drag is fully exposed.</t>
  </si>
  <si>
    <t xml:space="preserve">The product requires continuous capital inflows to sustain itself.</t>
  </si>
  <si>
    <t xml:space="preserve">Capital Raise Needed to Offset Annual Fee Drag ($000s)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</si>
</sst>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.00"/>
    <numFmt numFmtId="166" formatCode="0.0%"/>
    <numFmt numFmtId="167" formatCode="#,##0"/>
    <numFmt numFmtId="168" formatCode="0.0\x"/>
    <numFmt numFmtId="169" formatCode="0.00%"/>
    <numFmt numFmtId="170" formatCode="0"/>
    <numFmt numFmtId="171" formatCode="\$#,##0"/>
    <numFmt numFmtId="172" formatCode="#,##0;\(#,##0\);\✓"/>
    <numFmt numFmtId="173" formatCode="#,##0;\(#,##0\);\-"/>
    <numFmt numFmtId="174" formatCode="0.00"/>
    <numFmt numFmtId="175" formatCode="0.0"/>
    <numFmt numFmtId="176" formatCode="0.0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  <charset val="1"/>
    </font>
    <font>
      <sz val="10"/>
      <color rgb="FF008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0"/>
      <color rgb="FF0000FF"/>
      <name val="Arial"/>
      <family val="2"/>
      <charset val="1"/>
    </font>
    <font>
      <sz val="10"/>
      <color rgb="FF0000FF"/>
      <name val="Arial"/>
      <family val="2"/>
      <charset val="1"/>
    </font>
    <font>
      <sz val="10"/>
      <name val="Arial"/>
      <family val="2"/>
    </font>
    <font>
      <b val="true"/>
      <sz val="14"/>
      <name val="Arial"/>
      <family val="2"/>
      <charset val="1"/>
    </font>
    <font>
      <b val="true"/>
      <sz val="10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CE4D6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rgb="FFFFFFCC"/>
        <bgColor rgb="FFFFFF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CE4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9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6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7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8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3" t="s">
        <v>2</v>
      </c>
    </row>
    <row r="4" customFormat="false" ht="15" hidden="false" customHeight="true" outlineLevel="0" collapsed="false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6" customFormat="false" ht="15" hidden="false" customHeight="true" outlineLevel="0" collapsed="false">
      <c r="A6" s="5" t="s">
        <v>10</v>
      </c>
      <c r="B6" s="6"/>
      <c r="C6" s="6"/>
      <c r="D6" s="6"/>
      <c r="E6" s="6"/>
      <c r="F6" s="6"/>
      <c r="G6" s="6"/>
      <c r="H6" s="6"/>
    </row>
    <row r="7" customFormat="false" ht="15" hidden="false" customHeight="true" outlineLevel="0" collapsed="false">
      <c r="A7" s="7" t="s">
        <v>11</v>
      </c>
      <c r="B7" s="8" t="n">
        <f aca="false">BS!B38</f>
        <v>0</v>
      </c>
      <c r="C7" s="8" t="n">
        <f aca="false">BS!C38</f>
        <v>19.34</v>
      </c>
      <c r="D7" s="8" t="n">
        <f aca="false">BS!D38</f>
        <v>20.63</v>
      </c>
      <c r="E7" s="8" t="n">
        <f aca="false">BS!E38</f>
        <v>22.59</v>
      </c>
      <c r="F7" s="8" t="n">
        <f aca="false">BS!F38</f>
        <v>23.18</v>
      </c>
      <c r="G7" s="8" t="n">
        <f aca="false">BS!G38</f>
        <v>24.26</v>
      </c>
      <c r="H7" s="8" t="n">
        <f aca="false">BS!H38</f>
        <v>24.36</v>
      </c>
    </row>
    <row r="8" customFormat="false" ht="15" hidden="false" customHeight="true" outlineLevel="0" collapsed="false">
      <c r="A8" s="7" t="s">
        <v>12</v>
      </c>
      <c r="B8" s="8" t="n">
        <f aca="false">BS!B37</f>
        <v>20.6704742767907</v>
      </c>
      <c r="C8" s="8" t="n">
        <f aca="false">BS!C37</f>
        <v>19.8174514253976</v>
      </c>
      <c r="D8" s="8" t="n">
        <f aca="false">BS!D37</f>
        <v>18.7228782686549</v>
      </c>
      <c r="E8" s="8" t="n">
        <f aca="false">BS!E37</f>
        <v>19.8532285152293</v>
      </c>
      <c r="F8" s="8" t="n">
        <f aca="false">BS!F37</f>
        <v>20.0709732205863</v>
      </c>
      <c r="G8" s="8" t="n">
        <f aca="false">BS!G37</f>
        <v>20.4071867794005</v>
      </c>
      <c r="H8" s="8" t="n">
        <f aca="false">BS!H37</f>
        <v>20.0952655477042</v>
      </c>
    </row>
    <row r="9" customFormat="false" ht="15" hidden="false" customHeight="true" outlineLevel="0" collapsed="false">
      <c r="A9" s="7" t="s">
        <v>13</v>
      </c>
      <c r="B9" s="8" t="n">
        <f aca="false">'Return Profile'!B85</f>
        <v>2100847</v>
      </c>
    </row>
    <row r="10" customFormat="false" ht="15" hidden="false" customHeight="true" outlineLevel="0" collapsed="false">
      <c r="A10" s="7" t="s">
        <v>14</v>
      </c>
      <c r="C10" s="9" t="n">
        <f aca="false">BS!C39</f>
        <v>-0.0240924736056501</v>
      </c>
      <c r="D10" s="9" t="n">
        <f aca="false">BS!D39</f>
        <v>0.101860499437095</v>
      </c>
      <c r="E10" s="9" t="n">
        <f aca="false">BS!E39</f>
        <v>0.137850198151464</v>
      </c>
      <c r="F10" s="9" t="n">
        <f aca="false">BS!F39</f>
        <v>0.154901645537788</v>
      </c>
      <c r="G10" s="9" t="n">
        <f aca="false">BS!G39</f>
        <v>0.188796881326566</v>
      </c>
      <c r="H10" s="9" t="n">
        <f aca="false">BS!H39</f>
        <v>0.212225832108155</v>
      </c>
    </row>
    <row r="11" customFormat="false" ht="15" hidden="false" customHeight="true" outlineLevel="0" collapsed="false">
      <c r="A11" s="7" t="s">
        <v>15</v>
      </c>
      <c r="B11" s="10" t="n">
        <f aca="false">IS!B150</f>
        <v>91571</v>
      </c>
      <c r="C11" s="10" t="n">
        <f aca="false">IS!C150</f>
        <v>104427</v>
      </c>
      <c r="D11" s="10" t="n">
        <f aca="false">IS!D150</f>
        <v>129564</v>
      </c>
      <c r="E11" s="10" t="n">
        <f aca="false">IS!E150</f>
        <v>153027</v>
      </c>
      <c r="F11" s="10" t="n">
        <f aca="false">IS!F150</f>
        <v>167218</v>
      </c>
      <c r="G11" s="10" t="n">
        <f aca="false">IS!G150</f>
        <v>176936</v>
      </c>
      <c r="H11" s="10" t="n">
        <f aca="false">IS!H150</f>
        <v>182133</v>
      </c>
    </row>
    <row r="13" customFormat="false" ht="15" hidden="false" customHeight="true" outlineLevel="0" collapsed="false">
      <c r="A13" s="5" t="s">
        <v>16</v>
      </c>
      <c r="B13" s="6"/>
      <c r="C13" s="6"/>
      <c r="D13" s="6"/>
      <c r="E13" s="6"/>
      <c r="F13" s="6"/>
      <c r="G13" s="6"/>
      <c r="H13" s="6"/>
    </row>
    <row r="14" customFormat="false" ht="15" hidden="false" customHeight="true" outlineLevel="0" collapsed="false">
      <c r="A14" s="7" t="s">
        <v>17</v>
      </c>
      <c r="B14" s="10" t="n">
        <f aca="false">IS!B11</f>
        <v>90469</v>
      </c>
      <c r="C14" s="10" t="n">
        <f aca="false">IS!C11</f>
        <v>123372</v>
      </c>
      <c r="D14" s="10" t="n">
        <f aca="false">IS!D11</f>
        <v>154983</v>
      </c>
      <c r="E14" s="10" t="n">
        <f aca="false">IS!E11</f>
        <v>248158</v>
      </c>
      <c r="F14" s="10" t="n">
        <f aca="false">IS!F11</f>
        <v>317704</v>
      </c>
      <c r="G14" s="10" t="n">
        <f aca="false">IS!G11</f>
        <v>350251</v>
      </c>
      <c r="H14" s="10" t="n">
        <f aca="false">IS!H11</f>
        <v>276229</v>
      </c>
    </row>
    <row r="15" customFormat="false" ht="15" hidden="false" customHeight="true" outlineLevel="0" collapsed="false">
      <c r="A15" s="7" t="s">
        <v>18</v>
      </c>
      <c r="B15" s="10" t="n">
        <f aca="false">IS!B15</f>
        <v>-28679</v>
      </c>
      <c r="C15" s="10" t="n">
        <f aca="false">IS!C15</f>
        <v>-42620</v>
      </c>
      <c r="D15" s="10" t="n">
        <f aca="false">IS!D15</f>
        <v>-57171</v>
      </c>
      <c r="E15" s="10" t="n">
        <f aca="false">IS!E15</f>
        <v>-88117</v>
      </c>
      <c r="F15" s="10" t="n">
        <f aca="false">IS!F15</f>
        <v>-112949</v>
      </c>
      <c r="G15" s="10" t="n">
        <f aca="false">IS!G15</f>
        <v>-122464</v>
      </c>
      <c r="H15" s="10" t="n">
        <f aca="false">IS!H15</f>
        <v>-100041</v>
      </c>
    </row>
    <row r="16" customFormat="false" ht="15" hidden="false" customHeight="true" outlineLevel="0" collapsed="false">
      <c r="A16" s="7" t="s">
        <v>19</v>
      </c>
      <c r="B16" s="10" t="n">
        <f aca="false">IS!B17</f>
        <v>61790</v>
      </c>
      <c r="C16" s="10" t="n">
        <f aca="false">IS!C17</f>
        <v>80752</v>
      </c>
      <c r="D16" s="10" t="n">
        <f aca="false">IS!D17</f>
        <v>97812</v>
      </c>
      <c r="E16" s="10" t="n">
        <f aca="false">IS!E17</f>
        <v>160041</v>
      </c>
      <c r="F16" s="10" t="n">
        <f aca="false">IS!F17</f>
        <v>204755</v>
      </c>
      <c r="G16" s="10" t="n">
        <f aca="false">IS!G17</f>
        <v>227787</v>
      </c>
      <c r="H16" s="10" t="n">
        <f aca="false">IS!H17</f>
        <v>176188</v>
      </c>
    </row>
    <row r="17" customFormat="false" ht="15" hidden="false" customHeight="true" outlineLevel="0" collapsed="false">
      <c r="A17" s="7" t="s">
        <v>20</v>
      </c>
      <c r="B17" s="10" t="n">
        <f aca="false">IS!B21</f>
        <v>48505</v>
      </c>
      <c r="C17" s="10" t="n">
        <f aca="false">IS!C21</f>
        <v>49144</v>
      </c>
      <c r="D17" s="10" t="n">
        <f aca="false">IS!D21</f>
        <v>31802</v>
      </c>
      <c r="E17" s="10" t="n">
        <f aca="false">IS!E21</f>
        <v>19011</v>
      </c>
      <c r="F17" s="10" t="n">
        <f aca="false">IS!F21</f>
        <v>28822</v>
      </c>
      <c r="G17" s="10" t="n">
        <f aca="false">IS!G21</f>
        <v>28997</v>
      </c>
      <c r="H17" s="10" t="n">
        <f aca="false">IS!H21</f>
        <v>21131</v>
      </c>
    </row>
    <row r="18" customFormat="false" ht="15" hidden="false" customHeight="true" outlineLevel="0" collapsed="false">
      <c r="A18" s="7" t="s">
        <v>21</v>
      </c>
      <c r="B18" s="10" t="n">
        <f aca="false">IS!B30</f>
        <v>-19042</v>
      </c>
      <c r="C18" s="10" t="n">
        <f aca="false">IS!C30</f>
        <v>-25433</v>
      </c>
      <c r="D18" s="10" t="n">
        <f aca="false">IS!D30</f>
        <v>-29075</v>
      </c>
      <c r="E18" s="10" t="n">
        <f aca="false">IS!E30</f>
        <v>-35695</v>
      </c>
      <c r="F18" s="10" t="n">
        <f aca="false">IS!F30</f>
        <v>-40364</v>
      </c>
      <c r="G18" s="10" t="n">
        <f aca="false">IS!G30</f>
        <v>-37111</v>
      </c>
      <c r="H18" s="10" t="n">
        <f aca="false">IS!H30</f>
        <v>-30536</v>
      </c>
    </row>
    <row r="19" customFormat="false" ht="15" hidden="false" customHeight="true" outlineLevel="0" collapsed="false">
      <c r="A19" s="7" t="s">
        <v>22</v>
      </c>
      <c r="B19" s="10" t="n">
        <f aca="false">IS!B31</f>
        <v>0</v>
      </c>
      <c r="C19" s="10" t="n">
        <f aca="false">IS!C31</f>
        <v>0</v>
      </c>
      <c r="D19" s="10" t="n">
        <f aca="false">IS!D31</f>
        <v>0</v>
      </c>
      <c r="E19" s="10" t="n">
        <f aca="false">IS!E31</f>
        <v>0</v>
      </c>
      <c r="F19" s="10" t="n">
        <f aca="false">IS!F31</f>
        <v>-14533</v>
      </c>
      <c r="G19" s="10" t="n">
        <f aca="false">IS!G31</f>
        <v>-44728</v>
      </c>
      <c r="H19" s="10" t="n">
        <f aca="false">IS!H31</f>
        <v>-35002</v>
      </c>
    </row>
    <row r="20" customFormat="false" ht="15" hidden="false" customHeight="true" outlineLevel="0" collapsed="false">
      <c r="A20" s="7" t="s">
        <v>23</v>
      </c>
      <c r="B20" s="10" t="n">
        <f aca="false">IS!B26</f>
        <v>-5246</v>
      </c>
      <c r="C20" s="10" t="n">
        <f aca="false">IS!C26</f>
        <v>-6650</v>
      </c>
      <c r="D20" s="10" t="n">
        <f aca="false">IS!D26</f>
        <v>-8376</v>
      </c>
      <c r="E20" s="10" t="n">
        <f aca="false">IS!E26</f>
        <v>-11469</v>
      </c>
      <c r="F20" s="10" t="n">
        <f aca="false">IS!F26</f>
        <v>-14393</v>
      </c>
      <c r="G20" s="10" t="n">
        <f aca="false">IS!G26</f>
        <v>-14591</v>
      </c>
      <c r="H20" s="10" t="n">
        <f aca="false">IS!H26</f>
        <v>-12698</v>
      </c>
    </row>
    <row r="21" customFormat="false" ht="15" hidden="false" customHeight="true" outlineLevel="0" collapsed="false">
      <c r="A21" s="7" t="s">
        <v>24</v>
      </c>
      <c r="B21" s="10" t="n">
        <f aca="false">IS!B25</f>
        <v>-21351</v>
      </c>
      <c r="C21" s="10" t="n">
        <f aca="false">IS!C25</f>
        <v>-28817</v>
      </c>
      <c r="D21" s="10" t="n">
        <f aca="false">IS!D25</f>
        <v>-37697</v>
      </c>
      <c r="E21" s="10" t="n">
        <f aca="false">IS!E25</f>
        <v>-70306</v>
      </c>
      <c r="F21" s="10" t="n">
        <f aca="false">IS!F25</f>
        <v>-87501</v>
      </c>
      <c r="G21" s="10" t="n">
        <f aca="false">IS!G25</f>
        <v>-106182</v>
      </c>
      <c r="H21" s="10" t="n">
        <f aca="false">IS!H25</f>
        <v>-77259</v>
      </c>
    </row>
    <row r="22" customFormat="false" ht="15" hidden="false" customHeight="true" outlineLevel="0" collapsed="false">
      <c r="A22" s="7" t="s">
        <v>25</v>
      </c>
      <c r="B22" s="10" t="n">
        <f aca="false">IS!B39</f>
        <v>289882</v>
      </c>
      <c r="C22" s="10" t="n">
        <f aca="false">IS!C39</f>
        <v>113725</v>
      </c>
      <c r="D22" s="10" t="n">
        <f aca="false">IS!D39</f>
        <v>247025</v>
      </c>
      <c r="E22" s="10" t="n">
        <f aca="false">IS!E39</f>
        <v>296441</v>
      </c>
      <c r="F22" s="10" t="n">
        <f aca="false">IS!F39</f>
        <v>201274</v>
      </c>
      <c r="G22" s="10" t="n">
        <f aca="false">IS!G39</f>
        <v>215325</v>
      </c>
      <c r="H22" s="10" t="n">
        <f aca="false">IS!H39</f>
        <v>72465</v>
      </c>
    </row>
    <row r="24" customFormat="false" ht="15" hidden="false" customHeight="true" outlineLevel="0" collapsed="false">
      <c r="A24" s="7" t="s">
        <v>26</v>
      </c>
      <c r="B24" s="9" t="n">
        <f aca="false">IS!B18</f>
        <v>0.682996385502216</v>
      </c>
      <c r="C24" s="9" t="n">
        <f aca="false">IS!C18</f>
        <v>0.654540738579256</v>
      </c>
      <c r="D24" s="9" t="n">
        <f aca="false">IS!D18</f>
        <v>0.63111438028687</v>
      </c>
      <c r="E24" s="9" t="n">
        <f aca="false">IS!E18</f>
        <v>0.644915739166176</v>
      </c>
      <c r="F24" s="9" t="n">
        <f aca="false">IS!F18</f>
        <v>0.644483544431295</v>
      </c>
      <c r="G24" s="9" t="n">
        <f aca="false">IS!G18</f>
        <v>0.650353603558591</v>
      </c>
      <c r="H24" s="9" t="n">
        <f aca="false">IS!H18</f>
        <v>0.637833102244877</v>
      </c>
    </row>
    <row r="25" customFormat="false" ht="15" hidden="false" customHeight="true" outlineLevel="0" collapsed="false">
      <c r="A25" s="11" t="s">
        <v>27</v>
      </c>
      <c r="B25" s="12" t="n">
        <f aca="false">ABS(IS!B30)+ABS(IS!B31)+ABS(IS!B26)</f>
        <v>24288</v>
      </c>
      <c r="C25" s="12" t="n">
        <f aca="false">ABS(IS!C30)+ABS(IS!C31)+ABS(IS!C26)</f>
        <v>32083</v>
      </c>
      <c r="D25" s="12" t="n">
        <f aca="false">ABS(IS!D30)+ABS(IS!D31)+ABS(IS!D26)</f>
        <v>37451</v>
      </c>
      <c r="E25" s="12" t="n">
        <f aca="false">ABS(IS!E30)+ABS(IS!E31)+ABS(IS!E26)</f>
        <v>47164</v>
      </c>
      <c r="F25" s="12" t="n">
        <f aca="false">ABS(IS!F30)+ABS(IS!F31)+ABS(IS!F26)</f>
        <v>69290</v>
      </c>
      <c r="G25" s="12" t="n">
        <f aca="false">ABS(IS!G30)+ABS(IS!G31)+ABS(IS!G26)</f>
        <v>96430</v>
      </c>
      <c r="H25" s="12" t="n">
        <f aca="false">ABS(IS!H30)+ABS(IS!H31)+ABS(IS!H26)</f>
        <v>78236</v>
      </c>
    </row>
    <row r="26" customFormat="false" ht="15" hidden="false" customHeight="true" outlineLevel="0" collapsed="false">
      <c r="A26" s="7" t="s">
        <v>28</v>
      </c>
      <c r="B26" s="13" t="n">
        <f aca="false">IF(IS!B17=0,"",B25/IS!B17)</f>
        <v>0.393073312833792</v>
      </c>
      <c r="C26" s="13" t="n">
        <f aca="false">IF(IS!C17=0,"",C25/IS!C17)</f>
        <v>0.397302853180107</v>
      </c>
      <c r="D26" s="13" t="n">
        <f aca="false">IF(IS!D17=0,"",D25/IS!D17)</f>
        <v>0.382887580256001</v>
      </c>
      <c r="E26" s="13" t="n">
        <f aca="false">IF(IS!E17=0,"",E25/IS!E17)</f>
        <v>0.294699483257415</v>
      </c>
      <c r="F26" s="13" t="n">
        <f aca="false">IF(IS!F17=0,"",F25/IS!F17)</f>
        <v>0.338404434568142</v>
      </c>
      <c r="G26" s="13" t="n">
        <f aca="false">IF(IS!G17=0,"",G25/IS!G17)</f>
        <v>0.42333407964458</v>
      </c>
      <c r="H26" s="13" t="n">
        <f aca="false">IF(IS!H17=0,"",H25/IS!H17)</f>
        <v>0.444048402842418</v>
      </c>
    </row>
    <row r="27" customFormat="false" ht="15" hidden="false" customHeight="true" outlineLevel="0" collapsed="false">
      <c r="A27" s="14" t="s">
        <v>29</v>
      </c>
      <c r="B27" s="15" t="n">
        <f aca="false">ABS(IS!B162)</f>
        <v>0</v>
      </c>
      <c r="C27" s="15" t="n">
        <f aca="false">ABS(IS!C162)</f>
        <v>0</v>
      </c>
      <c r="D27" s="15" t="n">
        <f aca="false">ABS(IS!D162)</f>
        <v>0</v>
      </c>
      <c r="E27" s="15" t="n">
        <f aca="false">ABS(IS!E162)</f>
        <v>0</v>
      </c>
      <c r="F27" s="15" t="n">
        <f aca="false">ABS(IS!F162)</f>
        <v>16400</v>
      </c>
      <c r="G27" s="15" t="n">
        <f aca="false">ABS(IS!G162)</f>
        <v>67794</v>
      </c>
      <c r="H27" s="15" t="n">
        <f aca="false">ABS(IS!H162)</f>
        <v>5519</v>
      </c>
    </row>
    <row r="28" customFormat="false" ht="15" hidden="false" customHeight="true" outlineLevel="0" collapsed="false">
      <c r="A28" s="16" t="s">
        <v>30</v>
      </c>
      <c r="B28" s="17" t="n">
        <f aca="false">B25+B27</f>
        <v>24288</v>
      </c>
      <c r="C28" s="17" t="n">
        <f aca="false">C25+C27</f>
        <v>32083</v>
      </c>
      <c r="D28" s="17" t="n">
        <f aca="false">D25+D27</f>
        <v>37451</v>
      </c>
      <c r="E28" s="17" t="n">
        <f aca="false">E25+E27</f>
        <v>47164</v>
      </c>
      <c r="F28" s="17" t="n">
        <f aca="false">F25+F27</f>
        <v>85690</v>
      </c>
      <c r="G28" s="17" t="n">
        <f aca="false">G25+G27</f>
        <v>164224</v>
      </c>
      <c r="H28" s="17" t="n">
        <f aca="false">H25+H27</f>
        <v>83755</v>
      </c>
    </row>
    <row r="29" customFormat="false" ht="15" hidden="false" customHeight="true" outlineLevel="0" collapsed="false">
      <c r="A29" s="14" t="s">
        <v>31</v>
      </c>
      <c r="B29" s="18" t="n">
        <f aca="false">B26</f>
        <v>0.393073312833792</v>
      </c>
      <c r="C29" s="18" t="n">
        <f aca="false">C26</f>
        <v>0.397302853180107</v>
      </c>
      <c r="D29" s="18" t="n">
        <f aca="false">D26</f>
        <v>0.382887580256001</v>
      </c>
      <c r="E29" s="18" t="n">
        <f aca="false">E26</f>
        <v>0.294699483257415</v>
      </c>
      <c r="F29" s="18" t="n">
        <f aca="false">F26</f>
        <v>0.338404434568142</v>
      </c>
      <c r="G29" s="18" t="n">
        <f aca="false">G26</f>
        <v>0.42333407964458</v>
      </c>
      <c r="H29" s="18" t="n">
        <f aca="false">H26</f>
        <v>0.444048402842418</v>
      </c>
    </row>
    <row r="30" customFormat="false" ht="15" hidden="false" customHeight="true" outlineLevel="0" collapsed="false">
      <c r="A30" s="16" t="s">
        <v>32</v>
      </c>
      <c r="B30" s="19" t="n">
        <f aca="false">IF(IS!B17=0,"",B28/IS!B17)</f>
        <v>0.393073312833792</v>
      </c>
      <c r="C30" s="19" t="n">
        <f aca="false">IF(IS!C17=0,"",C28/IS!C17)</f>
        <v>0.397302853180107</v>
      </c>
      <c r="D30" s="19" t="n">
        <f aca="false">IF(IS!D17=0,"",D28/IS!D17)</f>
        <v>0.382887580256001</v>
      </c>
      <c r="E30" s="19" t="n">
        <f aca="false">IF(IS!E17=0,"",E28/IS!E17)</f>
        <v>0.294699483257415</v>
      </c>
      <c r="F30" s="19" t="n">
        <f aca="false">IF(IS!F17=0,"",F28/IS!F17)</f>
        <v>0.418500158726283</v>
      </c>
      <c r="G30" s="19" t="n">
        <f aca="false">IF(IS!G17=0,"",G28/IS!G17)</f>
        <v>0.720954224780168</v>
      </c>
      <c r="H30" s="19" t="n">
        <f aca="false">IF(IS!H17=0,"",H28/IS!H17)</f>
        <v>0.475372897132608</v>
      </c>
    </row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>
      <c r="A33" s="5" t="s">
        <v>33</v>
      </c>
      <c r="B33" s="6"/>
      <c r="C33" s="6"/>
      <c r="D33" s="6"/>
      <c r="E33" s="6"/>
      <c r="F33" s="6"/>
      <c r="G33" s="6"/>
      <c r="H33" s="6"/>
    </row>
    <row r="34" customFormat="false" ht="15" hidden="false" customHeight="true" outlineLevel="0" collapsed="false">
      <c r="A34" s="7" t="s">
        <v>34</v>
      </c>
      <c r="B34" s="10" t="n">
        <f aca="false">IS!B107</f>
        <v>72567</v>
      </c>
      <c r="C34" s="10" t="n">
        <f aca="false">IS!C107</f>
        <v>69955</v>
      </c>
      <c r="D34" s="10" t="n">
        <f aca="false">IS!D107</f>
        <v>96451</v>
      </c>
      <c r="E34" s="10" t="n">
        <f aca="false">IS!E107</f>
        <v>125935</v>
      </c>
      <c r="F34" s="10" t="n">
        <f aca="false">IS!F107</f>
        <v>95062</v>
      </c>
      <c r="G34" s="10" t="n">
        <f aca="false">IS!G107</f>
        <v>150687</v>
      </c>
      <c r="H34" s="10" t="n">
        <f aca="false">IS!H107</f>
        <v>88785</v>
      </c>
    </row>
    <row r="35" customFormat="false" ht="15" hidden="false" customHeight="true" outlineLevel="0" collapsed="false">
      <c r="A35" s="7" t="s">
        <v>35</v>
      </c>
      <c r="B35" s="10" t="n">
        <f aca="false">IS!B111</f>
        <v>72567</v>
      </c>
      <c r="C35" s="10" t="n">
        <f aca="false">IS!C111</f>
        <v>69955</v>
      </c>
      <c r="D35" s="10" t="n">
        <f aca="false">IS!D111</f>
        <v>86795</v>
      </c>
      <c r="E35" s="10" t="n">
        <f aca="false">IS!E111</f>
        <v>114466</v>
      </c>
      <c r="F35" s="10" t="n">
        <f aca="false">IS!F111</f>
        <v>63664</v>
      </c>
      <c r="G35" s="10" t="n">
        <f aca="false">IS!G111</f>
        <v>81711</v>
      </c>
      <c r="H35" s="10" t="n">
        <f aca="false">IS!H111</f>
        <v>53783</v>
      </c>
    </row>
    <row r="36" customFormat="false" ht="15" hidden="false" customHeight="true" outlineLevel="0" collapsed="false">
      <c r="A36" s="7" t="s">
        <v>36</v>
      </c>
      <c r="B36" s="10" t="n">
        <f aca="false">IS!B126</f>
        <v>6516.5</v>
      </c>
      <c r="C36" s="10" t="n">
        <f aca="false">IS!C126</f>
        <v>7229.2</v>
      </c>
      <c r="D36" s="10" t="n">
        <f aca="false">IS!D126</f>
        <v>3696.2</v>
      </c>
      <c r="E36" s="10" t="n">
        <f aca="false">IS!E126</f>
        <v>10100.85</v>
      </c>
      <c r="F36" s="10" t="n">
        <f aca="false">IS!F126</f>
        <v>17249.75</v>
      </c>
      <c r="G36" s="10" t="n">
        <f aca="false">IS!G126</f>
        <v>-9361.05</v>
      </c>
      <c r="H36" s="10" t="n">
        <f aca="false">IS!H126</f>
        <v>-5837.2</v>
      </c>
    </row>
    <row r="37" customFormat="false" ht="15" hidden="false" customHeight="true" outlineLevel="0" collapsed="false">
      <c r="A37" s="7" t="s">
        <v>37</v>
      </c>
      <c r="B37" s="10" t="n">
        <f aca="false">IS!B42</f>
        <v>78695</v>
      </c>
      <c r="C37" s="10" t="n">
        <f aca="false">IS!C42</f>
        <v>98940</v>
      </c>
      <c r="D37" s="10" t="n">
        <f aca="false">IS!D42</f>
        <v>121603</v>
      </c>
      <c r="E37" s="10" t="n">
        <f aca="false">IS!E42</f>
        <v>144491</v>
      </c>
      <c r="F37" s="10" t="n">
        <f aca="false">IS!F42</f>
        <v>162271</v>
      </c>
      <c r="G37" s="10" t="n">
        <f aca="false">IS!G42</f>
        <v>170813</v>
      </c>
      <c r="H37" s="10" t="n">
        <f aca="false">IS!H42</f>
        <v>182071</v>
      </c>
    </row>
    <row r="38" customFormat="false" ht="15" hidden="false" customHeight="true" outlineLevel="0" collapsed="false"/>
    <row r="39" customFormat="false" ht="15" hidden="false" customHeight="true" outlineLevel="0" collapsed="false">
      <c r="A39" s="7" t="s">
        <v>38</v>
      </c>
      <c r="B39" s="20" t="str">
        <f aca="false">IF(B32=0,"",B29/B32)</f>
        <v/>
      </c>
      <c r="C39" s="20" t="str">
        <f aca="false">IF(C32=0,"",C29/C32)</f>
        <v/>
      </c>
      <c r="D39" s="20" t="str">
        <f aca="false">IF(D32=0,"",D29/D32)</f>
        <v/>
      </c>
      <c r="E39" s="20" t="str">
        <f aca="false">IF(E32=0,"",E29/E32)</f>
        <v/>
      </c>
      <c r="F39" s="20" t="str">
        <f aca="false">IF(F32=0,"",F29/F32)</f>
        <v/>
      </c>
      <c r="G39" s="20" t="str">
        <f aca="false">IF(G32=0,"",G29/G32)</f>
        <v/>
      </c>
      <c r="H39" s="20" t="str">
        <f aca="false">IF(H32=0,"",H29/H32)</f>
        <v/>
      </c>
    </row>
    <row r="40" customFormat="false" ht="15" hidden="false" customHeight="true" outlineLevel="0" collapsed="false">
      <c r="A40" s="7" t="s">
        <v>39</v>
      </c>
      <c r="B40" s="8" t="n">
        <f aca="false">IS!B127</f>
        <v>0.0828070398373467</v>
      </c>
      <c r="C40" s="8" t="n">
        <f aca="false">IS!C127</f>
        <v>0.0730665049524965</v>
      </c>
      <c r="D40" s="8" t="n">
        <f aca="false">IS!D127</f>
        <v>0.0303956316867183</v>
      </c>
      <c r="E40" s="8" t="n">
        <f aca="false">IS!E127</f>
        <v>0.0699064301582798</v>
      </c>
      <c r="F40" s="8" t="n">
        <f aca="false">IS!F127</f>
        <v>0.10630211189923</v>
      </c>
      <c r="G40" s="8" t="n">
        <f aca="false">IS!G127</f>
        <v>-0.054802913127221</v>
      </c>
      <c r="H40" s="8" t="n">
        <f aca="false">IS!H127</f>
        <v>-0.0320600205414371</v>
      </c>
    </row>
    <row r="41" customFormat="false" ht="15" hidden="false" customHeight="true" outlineLevel="0" collapsed="false">
      <c r="A41" s="7" t="s">
        <v>40</v>
      </c>
      <c r="B41" s="8" t="n">
        <f aca="false">'Return Profile'!B11</f>
        <v>0.82</v>
      </c>
      <c r="C41" s="8" t="n">
        <f aca="false">'Return Profile'!C11</f>
        <v>0.93</v>
      </c>
      <c r="D41" s="8" t="n">
        <f aca="false">'Return Profile'!D11</f>
        <v>0.93</v>
      </c>
      <c r="E41" s="8" t="n">
        <f aca="false">'Return Profile'!E11</f>
        <v>1.04</v>
      </c>
      <c r="F41" s="8" t="n">
        <f aca="false">'Return Profile'!F11</f>
        <v>1.05</v>
      </c>
      <c r="G41" s="8" t="n">
        <f aca="false">'Return Profile'!G11</f>
        <v>1.16</v>
      </c>
      <c r="H41" s="8" t="n">
        <f aca="false">'Return Profile'!H11</f>
        <v>0.87</v>
      </c>
    </row>
    <row r="42" customFormat="false" ht="15" hidden="false" customHeight="true" outlineLevel="0" collapsed="false">
      <c r="A42" s="7" t="s">
        <v>41</v>
      </c>
      <c r="B42" s="9" t="n">
        <f aca="false">IS!B132</f>
        <v>1.24861162787493</v>
      </c>
      <c r="C42" s="9" t="n">
        <f aca="false">IS!C132</f>
        <v>1.47436208991495</v>
      </c>
      <c r="D42" s="9" t="n">
        <f aca="false">IS!D132</f>
        <v>1.11731345450021</v>
      </c>
      <c r="E42" s="9" t="n">
        <f aca="false">IS!E132</f>
        <v>1.10063921864454</v>
      </c>
      <c r="F42" s="9" t="n">
        <f aca="false">IS!F132</f>
        <v>1.63413351286529</v>
      </c>
      <c r="G42" s="9" t="n">
        <f aca="false">IS!G132</f>
        <v>1.20385965610836</v>
      </c>
      <c r="H42" s="9" t="n">
        <f aca="false">IS!H132</f>
        <v>1.61754800923579</v>
      </c>
    </row>
    <row r="43" customFormat="false" ht="15" hidden="false" customHeight="true" outlineLevel="0" collapsed="false">
      <c r="A43" s="7" t="s">
        <v>42</v>
      </c>
      <c r="B43" s="9" t="n">
        <f aca="false">IS!B134</f>
        <v>13.9043965318806</v>
      </c>
      <c r="C43" s="9" t="n">
        <f aca="false">IS!C134</f>
        <v>14.2670004979804</v>
      </c>
      <c r="D43" s="9" t="n">
        <f aca="false">IS!D134</f>
        <v>29.1558898328013</v>
      </c>
      <c r="E43" s="9" t="n">
        <f aca="false">IS!E134</f>
        <v>13.7225085017598</v>
      </c>
      <c r="F43" s="9" t="n">
        <f aca="false">IS!F134</f>
        <v>9.00557979101146</v>
      </c>
      <c r="G43" s="9" t="n">
        <f aca="false">IS!G134</f>
        <v>-19.378809001127</v>
      </c>
      <c r="H43" s="9" t="n">
        <f aca="false">IS!H134</f>
        <v>-24.6032344274652</v>
      </c>
    </row>
    <row r="44" customFormat="false" ht="15" hidden="false" customHeight="true" outlineLevel="0" collapsed="false"/>
    <row r="45" customFormat="false" ht="15" hidden="false" customHeight="true" outlineLevel="0" collapsed="false">
      <c r="A45" s="5" t="s">
        <v>43</v>
      </c>
      <c r="B45" s="6"/>
      <c r="C45" s="6"/>
      <c r="D45" s="6"/>
      <c r="E45" s="6"/>
      <c r="F45" s="6"/>
      <c r="G45" s="6"/>
      <c r="H45" s="6"/>
    </row>
    <row r="46" customFormat="false" ht="15" hidden="false" customHeight="true" outlineLevel="0" collapsed="false">
      <c r="A46" s="7" t="s">
        <v>44</v>
      </c>
      <c r="B46" s="10" t="n">
        <f aca="false">CFS!B19</f>
        <v>73385</v>
      </c>
      <c r="C46" s="10" t="n">
        <f aca="false">CFS!C19</f>
        <v>84175</v>
      </c>
      <c r="D46" s="10" t="n">
        <f aca="false">CFS!D19</f>
        <v>89381</v>
      </c>
      <c r="E46" s="10" t="n">
        <f aca="false">CFS!E19</f>
        <v>142904</v>
      </c>
      <c r="F46" s="10" t="n">
        <f aca="false">CFS!F19</f>
        <v>113262</v>
      </c>
      <c r="G46" s="10" t="n">
        <f aca="false">CFS!G19</f>
        <v>150405</v>
      </c>
      <c r="H46" s="10" t="n">
        <f aca="false">CFS!H19</f>
        <v>103256</v>
      </c>
    </row>
    <row r="47" customFormat="false" ht="15" hidden="false" customHeight="true" outlineLevel="0" collapsed="false">
      <c r="A47" s="7" t="s">
        <v>45</v>
      </c>
      <c r="B47" s="10" t="n">
        <f aca="false">CFS!B41</f>
        <v>-27294</v>
      </c>
      <c r="C47" s="10" t="n">
        <f aca="false">CFS!C41</f>
        <v>-55696</v>
      </c>
      <c r="D47" s="10" t="n">
        <f aca="false">CFS!D41</f>
        <v>-61384</v>
      </c>
      <c r="E47" s="10" t="n">
        <f aca="false">CFS!E41</f>
        <v>-61109</v>
      </c>
      <c r="F47" s="10" t="n">
        <f aca="false">CFS!F41</f>
        <v>-47628</v>
      </c>
      <c r="G47" s="10" t="n">
        <f aca="false">CFS!G41</f>
        <v>-49687</v>
      </c>
      <c r="H47" s="10" t="n">
        <f aca="false">CFS!H41</f>
        <v>-36545</v>
      </c>
    </row>
    <row r="48" customFormat="false" ht="15" hidden="false" customHeight="true" outlineLevel="0" collapsed="false">
      <c r="A48" s="11" t="s">
        <v>46</v>
      </c>
      <c r="B48" s="21" t="n">
        <f aca="false">B41+B42</f>
        <v>2.06861162787493</v>
      </c>
      <c r="C48" s="21" t="n">
        <f aca="false">C41+C42</f>
        <v>2.40436208991495</v>
      </c>
      <c r="D48" s="21" t="n">
        <f aca="false">D41+D42</f>
        <v>2.04731345450021</v>
      </c>
      <c r="E48" s="21" t="n">
        <f aca="false">E41+E42</f>
        <v>2.14063921864454</v>
      </c>
      <c r="F48" s="21" t="n">
        <f aca="false">F41+F42</f>
        <v>2.68413351286529</v>
      </c>
      <c r="G48" s="21" t="n">
        <f aca="false">G41+G42</f>
        <v>2.36385965610836</v>
      </c>
      <c r="H48" s="21" t="n">
        <f aca="false">H41+H42</f>
        <v>2.48754800923579</v>
      </c>
    </row>
    <row r="49" customFormat="false" ht="15" hidden="false" customHeight="true" outlineLevel="0" collapsed="false">
      <c r="A49" s="7" t="s">
        <v>47</v>
      </c>
      <c r="B49" s="10" t="n">
        <f aca="false">IS!B131</f>
        <v>90608</v>
      </c>
      <c r="C49" s="10" t="n">
        <f aca="false">IS!C131</f>
        <v>103139</v>
      </c>
      <c r="D49" s="10" t="n">
        <f aca="false">IS!D131</f>
        <v>107766</v>
      </c>
      <c r="E49" s="10" t="n">
        <f aca="false">IS!E131</f>
        <v>138609</v>
      </c>
      <c r="F49" s="10" t="n">
        <f aca="false">IS!F131</f>
        <v>155344</v>
      </c>
      <c r="G49" s="10" t="n">
        <f aca="false">IS!G131</f>
        <v>181406</v>
      </c>
      <c r="H49" s="10" t="n">
        <f aca="false">IS!H131</f>
        <v>143614</v>
      </c>
    </row>
    <row r="50" customFormat="false" ht="15" hidden="false" customHeight="true" outlineLevel="0" collapsed="false">
      <c r="A50" s="7" t="s">
        <v>48</v>
      </c>
      <c r="B50" s="12" t="n">
        <f aca="false">B43-B44</f>
        <v>13.9043965318806</v>
      </c>
      <c r="C50" s="12" t="n">
        <f aca="false">C43-C44</f>
        <v>14.2670004979804</v>
      </c>
      <c r="D50" s="12" t="n">
        <f aca="false">D43-D44</f>
        <v>29.1558898328013</v>
      </c>
      <c r="E50" s="12" t="n">
        <f aca="false">E43-E44</f>
        <v>13.7225085017598</v>
      </c>
      <c r="F50" s="12" t="n">
        <f aca="false">F43-F44</f>
        <v>9.00557979101146</v>
      </c>
      <c r="G50" s="12" t="n">
        <f aca="false">G43-G44</f>
        <v>-19.378809001127</v>
      </c>
      <c r="H50" s="12" t="n">
        <f aca="false">H43-H44</f>
        <v>-24.6032344274652</v>
      </c>
    </row>
    <row r="51" customFormat="false" ht="15" hidden="false" customHeight="true" outlineLevel="0" collapsed="false"/>
    <row r="52" customFormat="false" ht="15" hidden="false" customHeight="true" outlineLevel="0" collapsed="false">
      <c r="A52" s="5" t="s">
        <v>49</v>
      </c>
      <c r="B52" s="6"/>
      <c r="C52" s="6"/>
      <c r="D52" s="6"/>
      <c r="E52" s="6"/>
      <c r="F52" s="6"/>
      <c r="G52" s="6"/>
      <c r="H52" s="6"/>
    </row>
    <row r="53" customFormat="false" ht="15" hidden="false" customHeight="true" outlineLevel="0" collapsed="false">
      <c r="A53" s="7" t="s">
        <v>50</v>
      </c>
      <c r="B53" s="10" t="n">
        <f aca="false">BS!B7</f>
        <v>1808604</v>
      </c>
      <c r="C53" s="10" t="n">
        <f aca="false">BS!C7</f>
        <v>2445550</v>
      </c>
      <c r="D53" s="10" t="n">
        <f aca="false">BS!D7</f>
        <v>3110516</v>
      </c>
      <c r="E53" s="10" t="n">
        <f aca="false">BS!E7</f>
        <v>5106772</v>
      </c>
      <c r="F53" s="10" t="n">
        <f aca="false">BS!F7</f>
        <v>5795044</v>
      </c>
      <c r="G53" s="10" t="n">
        <f aca="false">BS!G7</f>
        <v>6282124</v>
      </c>
      <c r="H53" s="10" t="n">
        <f aca="false">BS!H7</f>
        <v>6492428</v>
      </c>
    </row>
    <row r="54" customFormat="false" ht="15" hidden="false" customHeight="true" outlineLevel="0" collapsed="false">
      <c r="A54" s="7" t="s">
        <v>51</v>
      </c>
      <c r="B54" s="10" t="n">
        <f aca="false">BS!B9</f>
        <v>170521</v>
      </c>
      <c r="C54" s="10" t="n">
        <f aca="false">BS!C9</f>
        <v>217539</v>
      </c>
      <c r="D54" s="10" t="n">
        <f aca="false">BS!D9</f>
        <v>341428</v>
      </c>
      <c r="E54" s="10" t="n">
        <f aca="false">BS!E9</f>
        <v>311312</v>
      </c>
      <c r="F54" s="10" t="n">
        <f aca="false">BS!F9</f>
        <v>352599</v>
      </c>
      <c r="G54" s="10" t="n">
        <f aca="false">BS!G9</f>
        <v>405374</v>
      </c>
      <c r="H54" s="10" t="n">
        <f aca="false">BS!H9</f>
        <v>392675</v>
      </c>
    </row>
    <row r="55" customFormat="false" ht="15" hidden="false" customHeight="true" outlineLevel="0" collapsed="false">
      <c r="A55" s="7" t="s">
        <v>52</v>
      </c>
      <c r="B55" s="10" t="n">
        <f aca="false">BS!B15</f>
        <v>2702655</v>
      </c>
      <c r="C55" s="10" t="n">
        <f aca="false">BS!C15</f>
        <v>3305057</v>
      </c>
      <c r="D55" s="10" t="n">
        <f aca="false">BS!D15</f>
        <v>4073306</v>
      </c>
      <c r="E55" s="10" t="n">
        <f aca="false">BS!E15</f>
        <v>5721447</v>
      </c>
      <c r="F55" s="10" t="n">
        <f aca="false">BS!F15</f>
        <v>6594198</v>
      </c>
      <c r="G55" s="10" t="n">
        <f aca="false">BS!G15</f>
        <v>7048908</v>
      </c>
      <c r="H55" s="10" t="n">
        <f aca="false">BS!H15</f>
        <v>7217417</v>
      </c>
    </row>
    <row r="56" customFormat="false" ht="15" hidden="false" customHeight="true" outlineLevel="0" collapsed="false">
      <c r="A56" s="7" t="s">
        <v>53</v>
      </c>
      <c r="B56" s="10" t="n">
        <f aca="false">BS!B20</f>
        <v>737678</v>
      </c>
      <c r="C56" s="10" t="n">
        <f aca="false">BS!C20</f>
        <v>1183108</v>
      </c>
      <c r="D56" s="10" t="n">
        <f aca="false">BS!D20</f>
        <v>1578261</v>
      </c>
      <c r="E56" s="10" t="n">
        <f aca="false">BS!E20</f>
        <v>2612857</v>
      </c>
      <c r="F56" s="10" t="n">
        <f aca="false">BS!F20</f>
        <v>3155355</v>
      </c>
      <c r="G56" s="10" t="n">
        <f aca="false">BS!G20</f>
        <v>3269635</v>
      </c>
      <c r="H56" s="10" t="n">
        <f aca="false">BS!H20</f>
        <v>3427428</v>
      </c>
    </row>
    <row r="57" customFormat="false" ht="15" hidden="false" customHeight="true" outlineLevel="0" collapsed="false">
      <c r="A57" s="7" t="s">
        <v>54</v>
      </c>
      <c r="B57" s="10" t="n">
        <f aca="false">BS!B31</f>
        <v>1892816</v>
      </c>
      <c r="C57" s="10" t="n">
        <f aca="false">BS!C31</f>
        <v>2069477</v>
      </c>
      <c r="D57" s="10" t="n">
        <f aca="false">BS!D31</f>
        <v>2425811</v>
      </c>
      <c r="E57" s="10" t="n">
        <f aca="false">BS!E31</f>
        <v>3038080</v>
      </c>
      <c r="F57" s="10" t="n">
        <f aca="false">BS!F31</f>
        <v>3356228</v>
      </c>
      <c r="G57" s="10" t="n">
        <f aca="false">BS!G31</f>
        <v>3610766</v>
      </c>
      <c r="H57" s="10" t="n">
        <f aca="false">BS!H31</f>
        <v>3660011</v>
      </c>
    </row>
    <row r="58" customFormat="false" ht="15" hidden="false" customHeight="true" outlineLevel="0" collapsed="false">
      <c r="A58" s="7" t="s">
        <v>55</v>
      </c>
      <c r="B58" s="10" t="n">
        <f aca="false">BS!B40</f>
        <v>667123</v>
      </c>
      <c r="C58" s="10" t="n">
        <f aca="false">BS!C40</f>
        <v>1041579</v>
      </c>
      <c r="D58" s="10" t="n">
        <f aca="false">BS!D40</f>
        <v>1332650</v>
      </c>
      <c r="E58" s="10" t="n">
        <f aca="false">BS!E40</f>
        <v>2575523</v>
      </c>
      <c r="F58" s="10" t="n">
        <f aca="false">BS!F40</f>
        <v>3131776</v>
      </c>
      <c r="G58" s="10" t="n">
        <f aca="false">BS!G40</f>
        <v>3241029</v>
      </c>
      <c r="H58" s="10" t="n">
        <f aca="false">BS!H40</f>
        <v>3385974</v>
      </c>
    </row>
    <row r="59" customFormat="false" ht="15" hidden="false" customHeight="true" outlineLevel="0" collapsed="false"/>
    <row r="60" customFormat="false" ht="15" hidden="false" customHeight="true" outlineLevel="0" collapsed="false">
      <c r="A60" s="7" t="s">
        <v>56</v>
      </c>
      <c r="B60" s="9" t="n">
        <f aca="false">BS!B36</f>
        <v>0.272945677491208</v>
      </c>
      <c r="C60" s="9" t="n">
        <f aca="false">BS!C36</f>
        <v>0.357969015360401</v>
      </c>
      <c r="D60" s="9" t="n">
        <f aca="false">BS!D36</f>
        <v>0.387464383967225</v>
      </c>
      <c r="E60" s="9" t="n">
        <f aca="false">BS!E36</f>
        <v>0.45667765514563</v>
      </c>
      <c r="F60" s="9" t="n">
        <f aca="false">BS!F36</f>
        <v>0.478504740076049</v>
      </c>
      <c r="G60" s="9" t="n">
        <f aca="false">BS!G36</f>
        <v>0.46384986156721</v>
      </c>
      <c r="H60" s="9" t="n">
        <f aca="false">BS!H36</f>
        <v>0.474882911712043</v>
      </c>
    </row>
    <row r="61" customFormat="false" ht="15" hidden="false" customHeight="true" outlineLevel="0" collapsed="false">
      <c r="A61" s="7" t="s">
        <v>57</v>
      </c>
      <c r="B61" s="22" t="n">
        <f aca="false">BS!B41</f>
        <v>7.80005378355626</v>
      </c>
      <c r="C61" s="22" t="n">
        <f aca="false">BS!C41</f>
        <v>10.6482411032847</v>
      </c>
      <c r="D61" s="22" t="n">
        <f aca="false">BS!D41</f>
        <v>12.5001172486892</v>
      </c>
      <c r="E61" s="22" t="n">
        <f aca="false">BS!E41</f>
        <v>18.8269225146199</v>
      </c>
      <c r="F61" s="22" t="n">
        <f aca="false">BS!F41</f>
        <v>19.1721824303643</v>
      </c>
      <c r="G61" s="22" t="n">
        <f aca="false">BS!G41</f>
        <v>20.6282555564042</v>
      </c>
      <c r="H61" s="22" t="n">
        <f aca="false">BS!H41</f>
        <v>28.3188699128515</v>
      </c>
    </row>
    <row r="62" customFormat="false" ht="15" hidden="false" customHeight="true" outlineLevel="0" collapsed="false">
      <c r="A62" s="7" t="s">
        <v>58</v>
      </c>
      <c r="B62" s="23" t="n">
        <f aca="false">BS!B42</f>
        <v>0.0433</v>
      </c>
      <c r="C62" s="23" t="n">
        <f aca="false">BS!C42</f>
        <v>0.042</v>
      </c>
      <c r="D62" s="23" t="n">
        <f aca="false">BS!D42</f>
        <v>0.0408</v>
      </c>
      <c r="E62" s="23" t="n">
        <f aca="false">BS!E42</f>
        <v>0.0406</v>
      </c>
      <c r="F62" s="23" t="n">
        <f aca="false">BS!F42</f>
        <v>0.0438</v>
      </c>
      <c r="G62" s="23" t="n">
        <f aca="false">BS!G42</f>
        <v>0.0438</v>
      </c>
      <c r="H62" s="23" t="n">
        <f aca="false">BS!H42</f>
        <v>0.0436</v>
      </c>
    </row>
    <row r="63" customFormat="false" ht="15" hidden="false" customHeight="true" outlineLevel="0" collapsed="false"/>
    <row r="64" customFormat="false" ht="15" hidden="false" customHeight="true" outlineLevel="0" collapsed="false">
      <c r="A64" s="5" t="s">
        <v>59</v>
      </c>
      <c r="B64" s="6"/>
      <c r="C64" s="6"/>
      <c r="D64" s="6"/>
      <c r="E64" s="6"/>
      <c r="F64" s="6"/>
      <c r="G64" s="6"/>
      <c r="H64" s="6"/>
    </row>
    <row r="65" customFormat="false" ht="15" hidden="false" customHeight="true" outlineLevel="0" collapsed="false">
      <c r="A65" s="7" t="s">
        <v>12</v>
      </c>
      <c r="B65" s="8" t="n">
        <f aca="false">BS!B37</f>
        <v>20.6704742767907</v>
      </c>
      <c r="C65" s="8" t="n">
        <f aca="false">BS!C37</f>
        <v>19.8174514253976</v>
      </c>
      <c r="D65" s="8" t="n">
        <f aca="false">BS!D37</f>
        <v>18.7228782686549</v>
      </c>
      <c r="E65" s="8" t="n">
        <f aca="false">BS!E37</f>
        <v>19.8532285152293</v>
      </c>
      <c r="F65" s="8" t="n">
        <f aca="false">BS!F37</f>
        <v>20.0709732205863</v>
      </c>
      <c r="G65" s="8" t="n">
        <f aca="false">BS!G37</f>
        <v>20.4071867794005</v>
      </c>
      <c r="H65" s="8" t="n">
        <f aca="false">BS!H37</f>
        <v>20.0952655477042</v>
      </c>
    </row>
    <row r="66" customFormat="false" ht="15" hidden="false" customHeight="true" outlineLevel="0" collapsed="false">
      <c r="A66" s="7" t="s">
        <v>11</v>
      </c>
      <c r="B66" s="8" t="n">
        <f aca="false">BS!B38</f>
        <v>0</v>
      </c>
      <c r="C66" s="8" t="n">
        <f aca="false">BS!C38</f>
        <v>19.34</v>
      </c>
      <c r="D66" s="8" t="n">
        <f aca="false">BS!D38</f>
        <v>20.63</v>
      </c>
      <c r="E66" s="8" t="n">
        <f aca="false">BS!E38</f>
        <v>22.59</v>
      </c>
      <c r="F66" s="8" t="n">
        <f aca="false">BS!F38</f>
        <v>23.18</v>
      </c>
      <c r="G66" s="8" t="n">
        <f aca="false">BS!G38</f>
        <v>24.26</v>
      </c>
      <c r="H66" s="8" t="n">
        <f aca="false">BS!H38</f>
        <v>24.36</v>
      </c>
    </row>
    <row r="67" customFormat="false" ht="15" hidden="false" customHeight="true" outlineLevel="0" collapsed="false">
      <c r="A67" s="7" t="s">
        <v>60</v>
      </c>
      <c r="C67" s="9" t="n">
        <f aca="false">BS!C39</f>
        <v>-0.0240924736056501</v>
      </c>
      <c r="D67" s="9" t="n">
        <f aca="false">BS!D39</f>
        <v>0.101860499437095</v>
      </c>
      <c r="E67" s="9" t="n">
        <f aca="false">BS!E39</f>
        <v>0.137850198151464</v>
      </c>
      <c r="F67" s="9" t="n">
        <f aca="false">BS!F39</f>
        <v>0.154901645537788</v>
      </c>
      <c r="G67" s="9" t="n">
        <f aca="false">BS!G39</f>
        <v>0.188796881326566</v>
      </c>
      <c r="H67" s="9" t="n">
        <f aca="false">BS!H39</f>
        <v>0.212225832108155</v>
      </c>
    </row>
    <row r="68" customFormat="false" ht="15" hidden="false" customHeight="true" outlineLevel="0" collapsed="false">
      <c r="A68" s="7" t="s">
        <v>61</v>
      </c>
      <c r="B68" s="10" t="n">
        <f aca="false">IS!B70</f>
        <v>77922</v>
      </c>
      <c r="C68" s="10" t="n">
        <f aca="false">IS!C70</f>
        <v>108805</v>
      </c>
      <c r="D68" s="10" t="n">
        <f aca="false">IS!D70</f>
        <v>141294</v>
      </c>
      <c r="E68" s="10" t="n">
        <f aca="false">IS!E70</f>
        <v>223026</v>
      </c>
      <c r="F68" s="10" t="n">
        <f aca="false">IS!F70</f>
        <v>258946</v>
      </c>
      <c r="G68" s="10" t="n">
        <f aca="false">IS!G70</f>
        <v>282971</v>
      </c>
    </row>
    <row r="69" customFormat="false" ht="15" hidden="false" customHeight="true" outlineLevel="0" collapsed="false">
      <c r="A69" s="7" t="s">
        <v>62</v>
      </c>
      <c r="B69" s="9" t="n">
        <f aca="false">IS!B72</f>
        <v>0.261077844311377</v>
      </c>
      <c r="C69" s="9" t="n">
        <f aca="false">IS!C72</f>
        <v>0.347396968496136</v>
      </c>
      <c r="D69" s="9" t="n">
        <f aca="false">IS!D72</f>
        <v>0.444546681388787</v>
      </c>
      <c r="E69" s="9" t="n">
        <f aca="false">IS!E72</f>
        <v>0.393555401428384</v>
      </c>
      <c r="F69" s="9" t="n">
        <f aca="false">IS!F72</f>
        <v>0.26466264560084</v>
      </c>
      <c r="G69" s="9" t="n">
        <f aca="false">IS!G72</f>
        <v>0.242261410879462</v>
      </c>
    </row>
    <row r="70" customFormat="false" ht="15" hidden="false" customHeight="true" outlineLevel="0" collapsed="false"/>
    <row r="71" customFormat="false" ht="15" hidden="false" customHeight="true" outlineLevel="0" collapsed="false">
      <c r="A71" s="5" t="s">
        <v>63</v>
      </c>
      <c r="B71" s="6"/>
      <c r="C71" s="6"/>
      <c r="D71" s="6"/>
      <c r="E71" s="6"/>
      <c r="F71" s="6"/>
      <c r="G71" s="6"/>
      <c r="H71" s="6"/>
    </row>
    <row r="72" customFormat="false" ht="15" hidden="false" customHeight="true" outlineLevel="0" collapsed="false">
      <c r="A72" s="7" t="s">
        <v>22</v>
      </c>
      <c r="B72" s="12" t="n">
        <f aca="false">ABS(IS!B31)</f>
        <v>0</v>
      </c>
      <c r="C72" s="12" t="n">
        <f aca="false">ABS(IS!C31)</f>
        <v>0</v>
      </c>
      <c r="D72" s="12" t="n">
        <f aca="false">ABS(IS!D31)</f>
        <v>0</v>
      </c>
      <c r="E72" s="12" t="n">
        <f aca="false">ABS(IS!E31)</f>
        <v>0</v>
      </c>
      <c r="F72" s="12" t="n">
        <f aca="false">ABS(IS!F31)</f>
        <v>14533</v>
      </c>
      <c r="G72" s="12" t="n">
        <f aca="false">ABS(IS!G31)</f>
        <v>44728</v>
      </c>
      <c r="H72" s="12" t="n">
        <f aca="false">ABS(IS!H31)</f>
        <v>35002</v>
      </c>
    </row>
    <row r="73" customFormat="false" ht="15" hidden="false" customHeight="true" outlineLevel="0" collapsed="false">
      <c r="A73" s="7" t="s">
        <v>64</v>
      </c>
      <c r="B73" s="10" t="n">
        <f aca="false">ABS(IS!B162)</f>
        <v>0</v>
      </c>
      <c r="C73" s="10" t="n">
        <f aca="false">ABS(IS!C162)</f>
        <v>0</v>
      </c>
      <c r="D73" s="10" t="n">
        <f aca="false">ABS(IS!D162)</f>
        <v>0</v>
      </c>
      <c r="E73" s="10" t="n">
        <f aca="false">ABS(IS!E162)</f>
        <v>0</v>
      </c>
      <c r="F73" s="10" t="n">
        <f aca="false">ABS(IS!F162)</f>
        <v>16400</v>
      </c>
      <c r="G73" s="10" t="n">
        <f aca="false">ABS(IS!G162)</f>
        <v>67794</v>
      </c>
      <c r="H73" s="10" t="n">
        <f aca="false">ABS(IS!H162)</f>
        <v>5519</v>
      </c>
    </row>
    <row r="74" customFormat="false" ht="15" hidden="false" customHeight="true" outlineLevel="0" collapsed="false">
      <c r="A74" s="7" t="s">
        <v>23</v>
      </c>
      <c r="B74" s="12" t="n">
        <f aca="false">ABS(IS!B26)</f>
        <v>5246</v>
      </c>
      <c r="C74" s="12" t="n">
        <f aca="false">ABS(IS!C26)</f>
        <v>6650</v>
      </c>
      <c r="D74" s="12" t="n">
        <f aca="false">ABS(IS!D26)</f>
        <v>8376</v>
      </c>
      <c r="E74" s="12" t="n">
        <f aca="false">ABS(IS!E26)</f>
        <v>11469</v>
      </c>
      <c r="F74" s="12" t="n">
        <f aca="false">ABS(IS!F26)</f>
        <v>14393</v>
      </c>
      <c r="G74" s="12" t="n">
        <f aca="false">ABS(IS!G26)</f>
        <v>14591</v>
      </c>
      <c r="H74" s="12" t="n">
        <f aca="false">ABS(IS!H26)</f>
        <v>12698</v>
      </c>
    </row>
    <row r="75" customFormat="false" ht="15" hidden="false" customHeight="true" outlineLevel="0" collapsed="false">
      <c r="A75" s="7" t="s">
        <v>21</v>
      </c>
      <c r="B75" s="12" t="n">
        <f aca="false">ABS(IS!B30)</f>
        <v>19042</v>
      </c>
      <c r="C75" s="12" t="n">
        <f aca="false">ABS(IS!C30)</f>
        <v>25433</v>
      </c>
      <c r="D75" s="12" t="n">
        <f aca="false">ABS(IS!D30)</f>
        <v>29075</v>
      </c>
      <c r="E75" s="12" t="n">
        <f aca="false">ABS(IS!E30)</f>
        <v>35695</v>
      </c>
      <c r="F75" s="12" t="n">
        <f aca="false">ABS(IS!F30)</f>
        <v>40364</v>
      </c>
      <c r="G75" s="12" t="n">
        <f aca="false">ABS(IS!G30)</f>
        <v>37111</v>
      </c>
      <c r="H75" s="12" t="n">
        <f aca="false">ABS(IS!H30)</f>
        <v>30536</v>
      </c>
    </row>
    <row r="76" customFormat="false" ht="15" hidden="false" customHeight="true" outlineLevel="0" collapsed="false">
      <c r="A76" s="11" t="s">
        <v>65</v>
      </c>
      <c r="B76" s="24" t="n">
        <f aca="false">SUM(B72:B75)</f>
        <v>24288</v>
      </c>
      <c r="C76" s="24" t="n">
        <f aca="false">SUM(C72:C75)</f>
        <v>32083</v>
      </c>
      <c r="D76" s="24" t="n">
        <f aca="false">SUM(D72:D75)</f>
        <v>37451</v>
      </c>
      <c r="E76" s="24" t="n">
        <f aca="false">SUM(E72:E75)</f>
        <v>47164</v>
      </c>
      <c r="F76" s="24" t="n">
        <f aca="false">SUM(F72:F75)</f>
        <v>85690</v>
      </c>
      <c r="G76" s="24" t="n">
        <f aca="false">SUM(G72:G75)</f>
        <v>164224</v>
      </c>
      <c r="H76" s="24" t="n">
        <f aca="false">SUM(H72:H75)</f>
        <v>83755</v>
      </c>
    </row>
    <row r="77" customFormat="false" ht="15" hidden="false" customHeight="true" outlineLevel="0" collapsed="false">
      <c r="A77" s="7" t="s">
        <v>66</v>
      </c>
      <c r="B77" s="18" t="n">
        <f aca="false">IF(IS!B17=0,"",B76/IS!B17)</f>
        <v>0.393073312833792</v>
      </c>
      <c r="C77" s="18" t="n">
        <f aca="false">IF(IS!C17=0,"",C76/IS!C17)</f>
        <v>0.397302853180107</v>
      </c>
      <c r="D77" s="18" t="n">
        <f aca="false">IF(IS!D17=0,"",D76/IS!D17)</f>
        <v>0.382887580256001</v>
      </c>
      <c r="E77" s="18" t="n">
        <f aca="false">IF(IS!E17=0,"",E76/IS!E17)</f>
        <v>0.294699483257415</v>
      </c>
      <c r="F77" s="18" t="n">
        <f aca="false">IF(IS!F17=0,"",F76/IS!F17)</f>
        <v>0.418500158726283</v>
      </c>
      <c r="G77" s="18" t="n">
        <f aca="false">IF(IS!G17=0,"",G76/IS!G17)</f>
        <v>0.720954224780168</v>
      </c>
      <c r="H77" s="18" t="n">
        <f aca="false">IF(IS!H17=0,"",H76/IS!H17)</f>
        <v>0.475372897132608</v>
      </c>
    </row>
    <row r="78" customFormat="false" ht="15" hidden="false" customHeight="true" outlineLevel="0" collapsed="false">
      <c r="A78" s="7" t="s">
        <v>67</v>
      </c>
      <c r="B78" s="25" t="n">
        <f aca="false">B76</f>
        <v>24288</v>
      </c>
      <c r="C78" s="25" t="n">
        <f aca="false">B78+C76</f>
        <v>56371</v>
      </c>
      <c r="D78" s="25" t="n">
        <f aca="false">C78+D76</f>
        <v>93822</v>
      </c>
      <c r="E78" s="25" t="n">
        <f aca="false">D78+E76</f>
        <v>140986</v>
      </c>
      <c r="F78" s="25" t="n">
        <f aca="false">E78+F76</f>
        <v>226676</v>
      </c>
      <c r="G78" s="25" t="n">
        <f aca="false">F78+G76</f>
        <v>390900</v>
      </c>
      <c r="H78" s="25" t="n">
        <f aca="false">G78+H76</f>
        <v>474655</v>
      </c>
    </row>
    <row r="79" customFormat="false" ht="15" hidden="false" customHeight="true" outlineLevel="0" collapsed="false"/>
    <row r="80" customFormat="false" ht="15" hidden="false" customHeight="true" outlineLevel="0" collapsed="false">
      <c r="A80" s="5" t="s">
        <v>68</v>
      </c>
      <c r="B80" s="6"/>
      <c r="C80" s="6"/>
      <c r="D80" s="6"/>
      <c r="E80" s="6"/>
      <c r="F80" s="6"/>
      <c r="G80" s="6"/>
      <c r="H80" s="6"/>
    </row>
    <row r="81" customFormat="false" ht="15" hidden="false" customHeight="true" outlineLevel="0" collapsed="false">
      <c r="A81" s="7" t="s">
        <v>69</v>
      </c>
      <c r="C81" s="10" t="n">
        <f aca="false">IS!C82</f>
        <v>16132</v>
      </c>
      <c r="D81" s="10" t="n">
        <f aca="false">IS!D82</f>
        <v>28053</v>
      </c>
      <c r="E81" s="10" t="n">
        <f aca="false">IS!E82</f>
        <v>43482</v>
      </c>
      <c r="F81" s="10" t="n">
        <f aca="false">IS!F82</f>
        <v>62985</v>
      </c>
      <c r="G81" s="10" t="n">
        <f aca="false">IS!G82</f>
        <v>54191</v>
      </c>
    </row>
    <row r="82" customFormat="false" ht="15" hidden="false" customHeight="true" outlineLevel="0" collapsed="false">
      <c r="A82" s="7" t="s">
        <v>70</v>
      </c>
      <c r="C82" s="10" t="n">
        <f aca="false">IS!C81</f>
        <v>741.48</v>
      </c>
      <c r="D82" s="10" t="n">
        <f aca="false">IS!D81</f>
        <v>-403.76</v>
      </c>
      <c r="E82" s="10" t="n">
        <f aca="false">IS!E81</f>
        <v>9781.2</v>
      </c>
      <c r="F82" s="10" t="n">
        <f aca="false">IS!F81</f>
        <v>17572.5018</v>
      </c>
      <c r="G82" s="10" t="n">
        <f aca="false">IS!G81</f>
        <v>17670.3565</v>
      </c>
    </row>
    <row r="83" customFormat="false" ht="15" hidden="false" customHeight="true" outlineLevel="0" collapsed="false">
      <c r="A83" s="7" t="s">
        <v>71</v>
      </c>
      <c r="C83" s="9" t="n">
        <f aca="false">IS!C83</f>
        <v>0.0459633027522936</v>
      </c>
      <c r="D83" s="9" t="n">
        <f aca="false">IS!D83</f>
        <v>-0.014392756567925</v>
      </c>
      <c r="E83" s="9" t="n">
        <f aca="false">IS!E83</f>
        <v>0.224948254450117</v>
      </c>
      <c r="F83" s="9" t="n">
        <f aca="false">IS!F83</f>
        <v>0.278995027387473</v>
      </c>
      <c r="G83" s="9" t="n">
        <f aca="false">IS!G83</f>
        <v>0.326075483013785</v>
      </c>
    </row>
    <row r="84" customFormat="false" ht="15" hidden="false" customHeight="true" outlineLevel="0" collapsed="false">
      <c r="A84" s="7" t="s">
        <v>72</v>
      </c>
      <c r="C84" s="9" t="n">
        <f aca="false">IS!C87</f>
        <v>-0.197511870845204</v>
      </c>
      <c r="D84" s="9" t="n">
        <f aca="false">IS!D87</f>
        <v>-0.261539083681816</v>
      </c>
      <c r="E84" s="9" t="n">
        <f aca="false">IS!E87</f>
        <v>-0.238515435899614</v>
      </c>
      <c r="F84" s="9" t="n">
        <f aca="false">IS!F87</f>
        <v>-0.203619749266902</v>
      </c>
      <c r="G84" s="9" t="n">
        <f aca="false">IS!G87</f>
        <v>-0.141035750697057</v>
      </c>
    </row>
    <row r="85" customFormat="false" ht="15" hidden="false" customHeight="true" outlineLevel="0" collapsed="false"/>
    <row r="86" customFormat="false" ht="15" hidden="false" customHeight="true" outlineLevel="0" collapsed="false">
      <c r="A86" s="5" t="s">
        <v>73</v>
      </c>
      <c r="B86" s="6"/>
      <c r="C86" s="6"/>
      <c r="D86" s="6"/>
      <c r="E86" s="6"/>
      <c r="F86" s="6"/>
      <c r="G86" s="6"/>
      <c r="H86" s="6"/>
    </row>
    <row r="87" customFormat="false" ht="15" hidden="false" customHeight="true" outlineLevel="0" collapsed="false">
      <c r="A87" s="7" t="s">
        <v>74</v>
      </c>
      <c r="B87" s="10" t="n">
        <f aca="false">CFS!B24</f>
        <v>469147</v>
      </c>
      <c r="C87" s="10" t="n">
        <f aca="false">CFS!C24</f>
        <v>341174</v>
      </c>
      <c r="D87" s="10" t="n">
        <f aca="false">CFS!D24</f>
        <v>452349</v>
      </c>
      <c r="E87" s="10" t="n">
        <f aca="false">CFS!E24</f>
        <v>485597</v>
      </c>
      <c r="F87" s="10" t="n">
        <f aca="false">CFS!F24</f>
        <v>461870</v>
      </c>
      <c r="G87" s="10" t="n">
        <f aca="false">CFS!G24</f>
        <v>492223</v>
      </c>
      <c r="H87" s="10" t="n">
        <f aca="false">CFS!H24</f>
        <v>325059</v>
      </c>
    </row>
    <row r="88" customFormat="false" ht="15" hidden="false" customHeight="true" outlineLevel="0" collapsed="false">
      <c r="A88" s="7" t="s">
        <v>75</v>
      </c>
      <c r="B88" s="10" t="n">
        <f aca="false">CFS!B27</f>
        <v>-51697</v>
      </c>
      <c r="C88" s="10" t="n">
        <f aca="false">CFS!C27</f>
        <v>-219877</v>
      </c>
      <c r="D88" s="10" t="n">
        <f aca="false">CFS!D27</f>
        <v>-261431</v>
      </c>
      <c r="E88" s="10" t="n">
        <f aca="false">CFS!E27</f>
        <v>-235492</v>
      </c>
      <c r="F88" s="10" t="n">
        <f aca="false">CFS!F27</f>
        <v>-327364</v>
      </c>
      <c r="G88" s="10" t="n">
        <f aca="false">CFS!G27</f>
        <v>-379251</v>
      </c>
      <c r="H88" s="10" t="n">
        <f aca="false">CFS!H27</f>
        <v>-303072</v>
      </c>
    </row>
    <row r="89" customFormat="false" ht="15" hidden="false" customHeight="true" outlineLevel="0" collapsed="false">
      <c r="A89" s="7" t="s">
        <v>76</v>
      </c>
      <c r="B89" s="10" t="n">
        <f aca="false">CFS!B26</f>
        <v>-44652</v>
      </c>
      <c r="C89" s="10" t="n">
        <f aca="false">CFS!C26</f>
        <v>-50296</v>
      </c>
      <c r="D89" s="10" t="n">
        <f aca="false">CFS!D26</f>
        <v>-47267</v>
      </c>
      <c r="E89" s="10" t="n">
        <f aca="false">CFS!E26</f>
        <v>-58846</v>
      </c>
      <c r="F89" s="10" t="n">
        <f aca="false">CFS!F26</f>
        <v>-70259</v>
      </c>
      <c r="G89" s="10" t="n">
        <f aca="false">CFS!G26</f>
        <v>-73645</v>
      </c>
      <c r="H89" s="10" t="n">
        <f aca="false">CFS!H26</f>
        <v>-59998</v>
      </c>
    </row>
    <row r="90" customFormat="false" ht="15" hidden="false" customHeight="true" outlineLevel="0" collapsed="false">
      <c r="A90" s="7" t="s">
        <v>77</v>
      </c>
      <c r="B90" s="12" t="n">
        <f aca="false">IS!B131+CFS!B26</f>
        <v>45956</v>
      </c>
      <c r="C90" s="12" t="n">
        <f aca="false">IS!C131+CFS!C26</f>
        <v>52843</v>
      </c>
      <c r="D90" s="12" t="n">
        <f aca="false">IS!D131+CFS!D26</f>
        <v>60499</v>
      </c>
      <c r="E90" s="12" t="n">
        <f aca="false">IS!E131+CFS!E26</f>
        <v>79763</v>
      </c>
      <c r="F90" s="12" t="n">
        <f aca="false">IS!F131+CFS!F26</f>
        <v>85085</v>
      </c>
      <c r="G90" s="12" t="n">
        <f aca="false">IS!G131+CFS!G26</f>
        <v>107761</v>
      </c>
      <c r="H90" s="12" t="n">
        <f aca="false">IS!H131+CFS!H26</f>
        <v>83616</v>
      </c>
    </row>
    <row r="91" customFormat="false" ht="15" hidden="false" customHeight="true" outlineLevel="0" collapsed="false">
      <c r="A91" s="11" t="s">
        <v>78</v>
      </c>
      <c r="B91" s="12" t="n">
        <f aca="false">CFS!B24+CFS!B27</f>
        <v>417450</v>
      </c>
      <c r="C91" s="12" t="n">
        <f aca="false">CFS!C24+CFS!C27</f>
        <v>121297</v>
      </c>
      <c r="D91" s="12" t="n">
        <f aca="false">CFS!D24+CFS!D27</f>
        <v>190918</v>
      </c>
      <c r="E91" s="12" t="n">
        <f aca="false">CFS!E24+CFS!E27</f>
        <v>250105</v>
      </c>
      <c r="F91" s="12" t="n">
        <f aca="false">CFS!F24+CFS!F27</f>
        <v>134506</v>
      </c>
      <c r="G91" s="12" t="n">
        <f aca="false">CFS!G24+CFS!G27</f>
        <v>112972</v>
      </c>
      <c r="H91" s="12" t="n">
        <f aca="false">CFS!H24+CFS!H27</f>
        <v>21987</v>
      </c>
    </row>
    <row r="92" customFormat="false" ht="15" hidden="false" customHeight="true" outlineLevel="0" collapsed="false">
      <c r="A92" s="7" t="s">
        <v>79</v>
      </c>
      <c r="C92" s="13" t="n">
        <f aca="false">IF(BS!B31=0,"",ABS(CFS!C27)/BS!B31)</f>
        <v>0.11616395888454</v>
      </c>
      <c r="D92" s="13" t="n">
        <f aca="false">IF(BS!C31=0,"",ABS(CFS!D27)/BS!C31)</f>
        <v>0.126327086505431</v>
      </c>
      <c r="E92" s="13" t="n">
        <f aca="false">IF(BS!D31=0,"",ABS(CFS!E27)/BS!D31)</f>
        <v>0.0970776371283666</v>
      </c>
      <c r="F92" s="13" t="n">
        <f aca="false">IF(BS!E31=0,"",ABS(CFS!F27)/BS!E31)</f>
        <v>0.107753581209185</v>
      </c>
      <c r="G92" s="13" t="n">
        <f aca="false">IF(BS!F31=0,"",ABS(CFS!G27)/BS!F31)</f>
        <v>0.112999176456427</v>
      </c>
      <c r="H92" s="13" t="n">
        <f aca="false">IF(BS!G31=0,"",ABS(CFS!H27)/BS!G31)</f>
        <v>0.0839356524349681</v>
      </c>
    </row>
    <row r="93" customFormat="false" ht="15" hidden="false" customHeight="true" outlineLevel="0" collapsed="false"/>
    <row r="94" customFormat="false" ht="15" hidden="false" customHeight="true" outlineLevel="0" collapsed="false">
      <c r="A94" s="5" t="s">
        <v>80</v>
      </c>
      <c r="B94" s="6"/>
      <c r="C94" s="6"/>
      <c r="D94" s="6"/>
      <c r="E94" s="6"/>
      <c r="F94" s="6"/>
      <c r="G94" s="6"/>
      <c r="H94" s="6"/>
    </row>
    <row r="95" customFormat="false" ht="15" hidden="false" customHeight="true" outlineLevel="0" collapsed="false">
      <c r="A95" s="7" t="s">
        <v>81</v>
      </c>
      <c r="B95" s="10" t="n">
        <f aca="false">IS!B150</f>
        <v>91571</v>
      </c>
      <c r="C95" s="10" t="n">
        <f aca="false">IS!C150</f>
        <v>104427</v>
      </c>
      <c r="D95" s="10" t="n">
        <f aca="false">IS!D150</f>
        <v>129564</v>
      </c>
      <c r="E95" s="10" t="n">
        <f aca="false">IS!E150</f>
        <v>153027</v>
      </c>
      <c r="F95" s="10" t="n">
        <f aca="false">IS!F150</f>
        <v>167218</v>
      </c>
      <c r="G95" s="10" t="n">
        <f aca="false">IS!G150</f>
        <v>176936</v>
      </c>
      <c r="H95" s="10" t="n">
        <f aca="false">IS!H150</f>
        <v>182133</v>
      </c>
    </row>
    <row r="96" customFormat="false" ht="15" hidden="false" customHeight="true" outlineLevel="0" collapsed="false">
      <c r="A96" s="7" t="s">
        <v>82</v>
      </c>
      <c r="C96" s="13" t="n">
        <f aca="false">IF(B90=0,"",C90/B90-1)</f>
        <v>0.149860736356515</v>
      </c>
      <c r="D96" s="13" t="n">
        <f aca="false">IF(C90=0,"",D90/C90-1)</f>
        <v>0.144882008969968</v>
      </c>
      <c r="E96" s="13" t="n">
        <f aca="false">IF(D90=0,"",E90/D90-1)</f>
        <v>0.318418486255971</v>
      </c>
      <c r="F96" s="13" t="n">
        <f aca="false">IF(E90=0,"",F90/E90-1)</f>
        <v>0.066722665897722</v>
      </c>
      <c r="G96" s="13" t="n">
        <f aca="false">IF(F90=0,"",G90/F90-1)</f>
        <v>0.266509960627608</v>
      </c>
      <c r="H96" s="13" t="n">
        <f aca="false">IF(G90=0,"",H90/G90-1)</f>
        <v>-0.224060652740787</v>
      </c>
    </row>
    <row r="98" customFormat="false" ht="15" hidden="false" customHeight="true" outlineLevel="0" collapsed="false">
      <c r="A98" s="5" t="s">
        <v>83</v>
      </c>
      <c r="B98" s="6"/>
      <c r="C98" s="6"/>
      <c r="D98" s="6"/>
      <c r="E98" s="6"/>
      <c r="F98" s="6"/>
      <c r="G98" s="6"/>
      <c r="H98" s="6"/>
    </row>
    <row r="99" customFormat="false" ht="15" hidden="false" customHeight="true" outlineLevel="0" collapsed="false">
      <c r="A99" s="7" t="s">
        <v>84</v>
      </c>
      <c r="C99" s="9" t="n">
        <f aca="false">IS!C80</f>
        <v>0.012</v>
      </c>
      <c r="D99" s="9" t="n">
        <f aca="false">IS!D80</f>
        <v>-0.005</v>
      </c>
      <c r="E99" s="9" t="n">
        <f aca="false">IS!E80</f>
        <v>0.1</v>
      </c>
      <c r="F99" s="9" t="n">
        <f aca="false">IS!F80</f>
        <v>0.1098</v>
      </c>
      <c r="G99" s="9" t="n">
        <f aca="false">IS!G80</f>
        <v>0.0863</v>
      </c>
    </row>
    <row r="100" customFormat="false" ht="15" hidden="false" customHeight="true" outlineLevel="0" collapsed="false">
      <c r="A100" s="7" t="s">
        <v>85</v>
      </c>
      <c r="B100" s="23" t="n">
        <f aca="false">'Return Profile'!B22</f>
        <v>0.0297</v>
      </c>
      <c r="C100" s="23" t="n">
        <f aca="false">'Return Profile'!C22</f>
        <v>0.0256</v>
      </c>
      <c r="D100" s="23" t="n">
        <f aca="false">'Return Profile'!D22</f>
        <v>0.0262</v>
      </c>
      <c r="E100" s="23" t="n">
        <f aca="false">'Return Profile'!E22</f>
        <v>0.0291</v>
      </c>
      <c r="F100" s="23" t="n">
        <f aca="false">'Return Profile'!F22</f>
        <v>0.0329</v>
      </c>
      <c r="G100" s="23" t="n">
        <f aca="false">'Return Profile'!G22</f>
        <v>0.0324</v>
      </c>
      <c r="H100" s="23" t="n">
        <f aca="false">'Return Profile'!H22</f>
        <v>0.0314</v>
      </c>
    </row>
    <row r="101" customFormat="false" ht="15" hidden="false" customHeight="true" outlineLevel="0" collapsed="false">
      <c r="A101" s="7" t="s">
        <v>86</v>
      </c>
      <c r="B101" s="10" t="n">
        <f aca="false">IS!B155</f>
        <v>85528</v>
      </c>
      <c r="C101" s="10" t="n">
        <f aca="false">IS!C155</f>
        <v>97817</v>
      </c>
      <c r="D101" s="10" t="n">
        <f aca="false">IS!D155</f>
        <v>106611</v>
      </c>
      <c r="E101" s="10" t="n">
        <f aca="false">IS!E155</f>
        <v>136800</v>
      </c>
      <c r="F101" s="10" t="n">
        <f aca="false">IS!F155</f>
        <v>163350</v>
      </c>
      <c r="G101" s="10" t="n">
        <f aca="false">IS!G155</f>
        <v>157116</v>
      </c>
      <c r="H101" s="10" t="n">
        <f aca="false">IS!H155</f>
        <v>119566</v>
      </c>
    </row>
    <row r="103" customFormat="false" ht="15" hidden="false" customHeight="true" outlineLevel="0" collapsed="false">
      <c r="A103" s="5" t="s">
        <v>87</v>
      </c>
      <c r="B103" s="6"/>
      <c r="C103" s="6"/>
      <c r="D103" s="6"/>
      <c r="E103" s="6"/>
      <c r="F103" s="6"/>
      <c r="G103" s="6"/>
      <c r="H103" s="6"/>
    </row>
    <row r="104" customFormat="false" ht="15" hidden="false" customHeight="true" outlineLevel="0" collapsed="false">
      <c r="A104" s="7" t="s">
        <v>88</v>
      </c>
      <c r="B104" s="10" t="n">
        <f aca="false">BS!B75</f>
        <v>582275</v>
      </c>
      <c r="C104" s="10" t="n">
        <f aca="false">BS!C75</f>
        <v>428705</v>
      </c>
      <c r="D104" s="10" t="n">
        <f aca="false">BS!D75</f>
        <v>254859</v>
      </c>
      <c r="E104" s="10" t="n">
        <f aca="false">BS!E75</f>
        <v>157986</v>
      </c>
      <c r="F104" s="10" t="n">
        <f aca="false">BS!F75</f>
        <v>262087</v>
      </c>
      <c r="G104" s="10" t="n">
        <f aca="false">BS!G75</f>
        <v>139190</v>
      </c>
      <c r="H104" s="10" t="n">
        <f aca="false">BS!H75</f>
        <v>113490</v>
      </c>
    </row>
    <row r="105" customFormat="false" ht="15" hidden="false" customHeight="true" outlineLevel="0" collapsed="false">
      <c r="A105" s="7" t="s">
        <v>89</v>
      </c>
      <c r="B105" s="9" t="n">
        <f aca="false">BS!B76</f>
        <v>0.215445552614004</v>
      </c>
      <c r="C105" s="9" t="n">
        <f aca="false">BS!C76</f>
        <v>0.129711832503948</v>
      </c>
      <c r="D105" s="9" t="n">
        <f aca="false">BS!D76</f>
        <v>0.0625680957924595</v>
      </c>
      <c r="E105" s="9" t="n">
        <f aca="false">BS!E76</f>
        <v>0.027612944767294</v>
      </c>
      <c r="F105" s="9" t="n">
        <f aca="false">BS!F76</f>
        <v>0.0397450910633863</v>
      </c>
      <c r="G105" s="9" t="n">
        <f aca="false">BS!G76</f>
        <v>0.0197463209904286</v>
      </c>
      <c r="H105" s="9" t="n">
        <f aca="false">BS!H76</f>
        <v>0.0157244620894151</v>
      </c>
    </row>
    <row r="106" customFormat="false" ht="15" hidden="false" customHeight="true" outlineLevel="0" collapsed="false">
      <c r="A106" s="7" t="s">
        <v>90</v>
      </c>
      <c r="B106" s="10" t="n">
        <f aca="false">IS!B21</f>
        <v>48505</v>
      </c>
      <c r="C106" s="10" t="n">
        <f aca="false">IS!C21</f>
        <v>49144</v>
      </c>
      <c r="D106" s="10" t="n">
        <f aca="false">IS!D21</f>
        <v>31802</v>
      </c>
      <c r="E106" s="10" t="n">
        <f aca="false">IS!E21</f>
        <v>19011</v>
      </c>
      <c r="F106" s="10" t="n">
        <f aca="false">IS!F21</f>
        <v>28822</v>
      </c>
      <c r="G106" s="10" t="n">
        <f aca="false">IS!G21</f>
        <v>28997</v>
      </c>
      <c r="H106" s="10" t="n">
        <f aca="false">IS!H21</f>
        <v>21131</v>
      </c>
    </row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>
      <c r="A109" s="5" t="s">
        <v>91</v>
      </c>
      <c r="B109" s="6"/>
      <c r="C109" s="6"/>
      <c r="D109" s="6"/>
      <c r="E109" s="6"/>
      <c r="F109" s="6"/>
      <c r="G109" s="6"/>
      <c r="H109" s="6"/>
    </row>
    <row r="110" customFormat="false" ht="15" hidden="false" customHeight="true" outlineLevel="0" collapsed="false">
      <c r="A110" s="3" t="s">
        <v>92</v>
      </c>
    </row>
    <row r="111" customFormat="false" ht="15" hidden="false" customHeight="true" outlineLevel="0" collapsed="false"/>
    <row r="112" customFormat="false" ht="15" hidden="false" customHeight="true" outlineLevel="0" collapsed="false">
      <c r="A112" s="7" t="s">
        <v>44</v>
      </c>
      <c r="B112" s="10" t="n">
        <f aca="false">CFS!B19</f>
        <v>73385</v>
      </c>
      <c r="C112" s="10" t="n">
        <f aca="false">CFS!C19</f>
        <v>84175</v>
      </c>
      <c r="D112" s="10" t="n">
        <f aca="false">CFS!D19</f>
        <v>89381</v>
      </c>
      <c r="E112" s="10" t="n">
        <f aca="false">CFS!E19</f>
        <v>142904</v>
      </c>
      <c r="F112" s="10" t="n">
        <f aca="false">CFS!F19</f>
        <v>113262</v>
      </c>
      <c r="G112" s="10" t="n">
        <f aca="false">CFS!G19</f>
        <v>150405</v>
      </c>
      <c r="H112" s="10" t="n">
        <f aca="false">CFS!H19</f>
        <v>103256</v>
      </c>
    </row>
    <row r="113" customFormat="false" ht="15" hidden="false" customHeight="true" outlineLevel="0" collapsed="false">
      <c r="A113" s="7" t="s">
        <v>93</v>
      </c>
      <c r="B113" s="10" t="n">
        <f aca="false">CFS!B41</f>
        <v>-27294</v>
      </c>
      <c r="C113" s="10" t="n">
        <f aca="false">CFS!C41</f>
        <v>-55696</v>
      </c>
      <c r="D113" s="10" t="n">
        <f aca="false">CFS!D41</f>
        <v>-61384</v>
      </c>
      <c r="E113" s="10" t="n">
        <f aca="false">CFS!E41</f>
        <v>-61109</v>
      </c>
      <c r="F113" s="10" t="n">
        <f aca="false">CFS!F41</f>
        <v>-47628</v>
      </c>
      <c r="G113" s="10" t="n">
        <f aca="false">CFS!G41</f>
        <v>-49687</v>
      </c>
      <c r="H113" s="10" t="n">
        <f aca="false">CFS!H41</f>
        <v>-36545</v>
      </c>
    </row>
    <row r="114" customFormat="false" ht="15" hidden="false" customHeight="true" outlineLevel="0" collapsed="false">
      <c r="A114" s="7" t="s">
        <v>94</v>
      </c>
      <c r="B114" s="10" t="n">
        <f aca="false">CFS!B26</f>
        <v>-44652</v>
      </c>
      <c r="C114" s="10" t="n">
        <f aca="false">CFS!C26</f>
        <v>-50296</v>
      </c>
      <c r="D114" s="10" t="n">
        <f aca="false">CFS!D26</f>
        <v>-47267</v>
      </c>
      <c r="E114" s="10" t="n">
        <f aca="false">CFS!E26</f>
        <v>-58846</v>
      </c>
      <c r="F114" s="10" t="n">
        <f aca="false">CFS!F26</f>
        <v>-70259</v>
      </c>
      <c r="G114" s="10" t="n">
        <f aca="false">CFS!G26</f>
        <v>-73645</v>
      </c>
      <c r="H114" s="10" t="n">
        <f aca="false">CFS!H26</f>
        <v>-59998</v>
      </c>
    </row>
    <row r="115" customFormat="false" ht="15" hidden="false" customHeight="true" outlineLevel="0" collapsed="false">
      <c r="A115" s="7" t="s">
        <v>95</v>
      </c>
      <c r="B115" s="10" t="n">
        <f aca="false">CFS!B27</f>
        <v>-51697</v>
      </c>
      <c r="C115" s="10" t="n">
        <f aca="false">CFS!C27</f>
        <v>-219877</v>
      </c>
      <c r="D115" s="10" t="n">
        <f aca="false">CFS!D27</f>
        <v>-261431</v>
      </c>
      <c r="E115" s="10" t="n">
        <f aca="false">CFS!E27</f>
        <v>-235492</v>
      </c>
      <c r="F115" s="10" t="n">
        <f aca="false">CFS!F27</f>
        <v>-327364</v>
      </c>
      <c r="G115" s="10" t="n">
        <f aca="false">CFS!G27</f>
        <v>-379251</v>
      </c>
      <c r="H115" s="10" t="n">
        <f aca="false">CFS!H27</f>
        <v>-303072</v>
      </c>
    </row>
    <row r="116" customFormat="false" ht="15" hidden="false" customHeight="true" outlineLevel="0" collapsed="false">
      <c r="A116" s="7" t="s">
        <v>96</v>
      </c>
      <c r="B116" s="10" t="n">
        <f aca="false">CFS!B30</f>
        <v>-42887</v>
      </c>
      <c r="C116" s="10" t="n">
        <f aca="false">CFS!C30</f>
        <v>-59109</v>
      </c>
      <c r="D116" s="10" t="n">
        <f aca="false">CFS!D30</f>
        <v>-120597</v>
      </c>
      <c r="E116" s="10" t="n">
        <f aca="false">CFS!E30</f>
        <v>-253265</v>
      </c>
      <c r="F116" s="10" t="n">
        <f aca="false">CFS!F30</f>
        <v>-287890</v>
      </c>
      <c r="G116" s="10" t="n">
        <f aca="false">CFS!G30</f>
        <v>-218172</v>
      </c>
      <c r="H116" s="10" t="n">
        <f aca="false">CFS!H30</f>
        <v>-49399</v>
      </c>
    </row>
    <row r="117" customFormat="false" ht="15" hidden="false" customHeight="true" outlineLevel="0" collapsed="false">
      <c r="A117" s="11" t="s">
        <v>97</v>
      </c>
      <c r="B117" s="26" t="n">
        <f aca="false">SUM(B107:B111)</f>
        <v>0</v>
      </c>
      <c r="C117" s="26" t="n">
        <f aca="false">SUM(C107:C111)</f>
        <v>0</v>
      </c>
      <c r="D117" s="26" t="n">
        <f aca="false">SUM(D107:D111)</f>
        <v>0</v>
      </c>
      <c r="E117" s="26" t="n">
        <f aca="false">SUM(E107:E111)</f>
        <v>0</v>
      </c>
      <c r="F117" s="26" t="n">
        <f aca="false">SUM(F107:F111)</f>
        <v>0</v>
      </c>
      <c r="G117" s="26" t="n">
        <f aca="false">SUM(G107:G111)</f>
        <v>0</v>
      </c>
      <c r="H117" s="26" t="n">
        <f aca="false">SUM(H107:H111)</f>
        <v>0</v>
      </c>
    </row>
    <row r="119" customFormat="false" ht="15" hidden="false" customHeight="true" outlineLevel="0" collapsed="false">
      <c r="A119" s="11" t="s">
        <v>98</v>
      </c>
    </row>
    <row r="120" customFormat="false" ht="15" hidden="false" customHeight="true" outlineLevel="0" collapsed="false">
      <c r="A120" s="7" t="s">
        <v>99</v>
      </c>
      <c r="B120" s="10" t="n">
        <f aca="false">CFS!B24</f>
        <v>469147</v>
      </c>
      <c r="C120" s="10" t="n">
        <f aca="false">CFS!C24</f>
        <v>341174</v>
      </c>
      <c r="D120" s="10" t="n">
        <f aca="false">CFS!D24</f>
        <v>452349</v>
      </c>
      <c r="E120" s="10" t="n">
        <f aca="false">CFS!E24</f>
        <v>485597</v>
      </c>
      <c r="F120" s="10" t="n">
        <f aca="false">CFS!F24</f>
        <v>461870</v>
      </c>
      <c r="G120" s="10" t="n">
        <f aca="false">CFS!G24</f>
        <v>492223</v>
      </c>
      <c r="H120" s="10" t="n">
        <f aca="false">CFS!H24</f>
        <v>325059</v>
      </c>
    </row>
    <row r="121" customFormat="false" ht="15" hidden="false" customHeight="true" outlineLevel="0" collapsed="false">
      <c r="A121" s="7" t="s">
        <v>100</v>
      </c>
      <c r="B121" s="10" t="n">
        <f aca="false">CFS!B29+CFS!B30</f>
        <v>233199</v>
      </c>
      <c r="C121" s="10" t="n">
        <f aca="false">CFS!C29+CFS!C30</f>
        <v>478476</v>
      </c>
      <c r="D121" s="10" t="n">
        <f aca="false">CFS!D29+CFS!D30</f>
        <v>315458</v>
      </c>
      <c r="E121" s="10" t="n">
        <f aca="false">CFS!E29+CFS!E30</f>
        <v>122594</v>
      </c>
      <c r="F121" s="10" t="n">
        <f aca="false">CFS!F29+CFS!F30</f>
        <v>119618</v>
      </c>
      <c r="G121" s="10" t="n">
        <f aca="false">CFS!G29+CFS!G30</f>
        <v>143745</v>
      </c>
      <c r="H121" s="10" t="n">
        <f aca="false">CFS!H29+CFS!H30</f>
        <v>7045</v>
      </c>
    </row>
    <row r="122" customFormat="false" ht="15" hidden="false" customHeight="true" outlineLevel="0" collapsed="false">
      <c r="A122" s="7" t="s">
        <v>101</v>
      </c>
      <c r="B122" s="10" t="n">
        <f aca="false">CFS!B31</f>
        <v>-18641</v>
      </c>
      <c r="C122" s="10" t="n">
        <f aca="false">CFS!C31</f>
        <v>1275</v>
      </c>
      <c r="D122" s="10" t="n">
        <f aca="false">CFS!D31</f>
        <v>-1275</v>
      </c>
      <c r="E122" s="10" t="n">
        <f aca="false">CFS!E31</f>
        <v>80000</v>
      </c>
      <c r="F122" s="10" t="n">
        <f aca="false">CFS!F31</f>
        <v>128000</v>
      </c>
      <c r="G122" s="10" t="n">
        <f aca="false">CFS!G31</f>
        <v>-108000</v>
      </c>
      <c r="H122" s="10" t="n">
        <f aca="false">CFS!H31</f>
        <v>82000</v>
      </c>
    </row>
    <row r="123" customFormat="false" ht="15" hidden="false" customHeight="true" outlineLevel="0" collapsed="false"/>
    <row r="124" customFormat="false" ht="15" hidden="false" customHeight="true" outlineLevel="0" collapsed="false">
      <c r="A124" s="5" t="s">
        <v>102</v>
      </c>
      <c r="B124" s="6"/>
      <c r="C124" s="6"/>
      <c r="D124" s="6"/>
      <c r="E124" s="6"/>
      <c r="F124" s="6"/>
      <c r="G124" s="6"/>
      <c r="H124" s="6"/>
    </row>
    <row r="125" customFormat="false" ht="15" hidden="false" customHeight="true" outlineLevel="0" collapsed="false">
      <c r="A125" s="3" t="s">
        <v>103</v>
      </c>
    </row>
    <row r="126" customFormat="false" ht="15" hidden="false" customHeight="true" outlineLevel="0" collapsed="false"/>
    <row r="127" customFormat="false" ht="15" hidden="false" customHeight="true" outlineLevel="0" collapsed="false">
      <c r="A127" s="7" t="s">
        <v>104</v>
      </c>
      <c r="C127" s="8" t="n">
        <f aca="false">Amplification!C51</f>
        <v>21.367808751679</v>
      </c>
      <c r="D127" s="8" t="n">
        <f aca="false">Amplification!D51</f>
        <v>21.8678198913925</v>
      </c>
      <c r="E127" s="8" t="n">
        <f aca="false">Amplification!E51</f>
        <v>24.0928433392337</v>
      </c>
      <c r="F127" s="8" t="n">
        <f aca="false">Amplification!F51</f>
        <v>24.7628957479965</v>
      </c>
      <c r="G127" s="8" t="n">
        <f aca="false">Amplification!G51</f>
        <v>26.8342344056543</v>
      </c>
    </row>
    <row r="128" customFormat="false" ht="15" hidden="false" customHeight="true" outlineLevel="0" collapsed="false">
      <c r="A128" s="7" t="s">
        <v>105</v>
      </c>
      <c r="C128" s="8" t="n">
        <f aca="false">BS!C37</f>
        <v>19.8174514253976</v>
      </c>
      <c r="D128" s="8" t="n">
        <f aca="false">BS!D37</f>
        <v>18.7228782686549</v>
      </c>
      <c r="E128" s="8" t="n">
        <f aca="false">BS!E37</f>
        <v>19.8532285152293</v>
      </c>
      <c r="F128" s="8" t="n">
        <f aca="false">BS!F37</f>
        <v>20.0709732205863</v>
      </c>
      <c r="G128" s="8" t="n">
        <f aca="false">BS!G37</f>
        <v>20.4071867794005</v>
      </c>
    </row>
    <row r="129" customFormat="false" ht="15" hidden="false" customHeight="true" outlineLevel="0" collapsed="false">
      <c r="A129" s="11" t="s">
        <v>106</v>
      </c>
      <c r="C129" s="27" t="n">
        <f aca="false">C122-C123</f>
        <v>1275</v>
      </c>
      <c r="D129" s="27" t="n">
        <f aca="false">D122-D123</f>
        <v>-1275</v>
      </c>
      <c r="E129" s="27" t="n">
        <f aca="false">E122-E123</f>
        <v>80000</v>
      </c>
      <c r="F129" s="27" t="n">
        <f aca="false">F122-F123</f>
        <v>128000</v>
      </c>
      <c r="G129" s="27" t="n">
        <f aca="false">G122-G123</f>
        <v>-108000</v>
      </c>
    </row>
    <row r="130" customFormat="false" ht="15" hidden="false" customHeight="true" outlineLevel="0" collapsed="false"/>
    <row r="131" customFormat="false" ht="15" hidden="false" customHeight="true" outlineLevel="0" collapsed="false">
      <c r="A131" s="7" t="s">
        <v>107</v>
      </c>
      <c r="C131" s="28" t="n">
        <f aca="false">Amplification!C65</f>
        <v>0.0801788315398855</v>
      </c>
      <c r="D131" s="28" t="n">
        <f aca="false">Amplification!D65</f>
        <v>0.0683276023611351</v>
      </c>
      <c r="E131" s="28" t="n">
        <f aca="false">Amplification!E65</f>
        <v>0.145648878747844</v>
      </c>
      <c r="F131" s="28" t="n">
        <f aca="false">Amplification!F65</f>
        <v>0.0676571206565899</v>
      </c>
      <c r="G131" s="28" t="n">
        <f aca="false">Amplification!G65</f>
        <v>0.122414546687379</v>
      </c>
    </row>
    <row r="132" customFormat="false" ht="15" hidden="false" customHeight="true" outlineLevel="0" collapsed="false">
      <c r="A132" s="7" t="s">
        <v>108</v>
      </c>
      <c r="C132" s="9" t="n">
        <f aca="false">'Return Profile'!C31</f>
        <v>-0.00159758556822866</v>
      </c>
      <c r="D132" s="9" t="n">
        <f aca="false">'Return Profile'!D31</f>
        <v>-0.0138551194524885</v>
      </c>
      <c r="E132" s="9" t="n">
        <f aca="false">'Return Profile'!E31</f>
        <v>0.105237571825329</v>
      </c>
      <c r="F132" s="9" t="n">
        <f aca="false">'Return Profile'!F31</f>
        <v>0.0537819178647895</v>
      </c>
      <c r="G132" s="9" t="n">
        <f aca="false">'Return Profile'!G31</f>
        <v>0.0645815000881306</v>
      </c>
    </row>
    <row r="133" customFormat="false" ht="15" hidden="false" customHeight="true" outlineLevel="0" collapsed="false">
      <c r="A133" s="11" t="s">
        <v>109</v>
      </c>
      <c r="C133" s="29" t="n">
        <f aca="false">C126-C127</f>
        <v>-21.367808751679</v>
      </c>
      <c r="D133" s="29" t="n">
        <f aca="false">D126-D127</f>
        <v>-21.8678198913925</v>
      </c>
      <c r="E133" s="29" t="n">
        <f aca="false">E126-E127</f>
        <v>-24.0928433392337</v>
      </c>
      <c r="F133" s="29" t="n">
        <f aca="false">F126-F127</f>
        <v>-24.7628957479965</v>
      </c>
      <c r="G133" s="29" t="n">
        <f aca="false">G126-G127</f>
        <v>-26.8342344056543</v>
      </c>
    </row>
    <row r="134" customFormat="false" ht="15" hidden="false" customHeight="true" outlineLevel="0" collapsed="false"/>
    <row r="135" customFormat="false" ht="15" hidden="false" customHeight="true" outlineLevel="0" collapsed="false">
      <c r="A135" s="7" t="s">
        <v>110</v>
      </c>
      <c r="C135" s="8" t="n">
        <f aca="false">Amplification!C52</f>
        <v>0.976902431970733</v>
      </c>
      <c r="D135" s="8" t="n">
        <f aca="false">Amplification!D52</f>
        <v>0.968801786056743</v>
      </c>
      <c r="E135" s="8" t="n">
        <f aca="false">Amplification!E52</f>
        <v>1.01045651293643</v>
      </c>
      <c r="F135" s="8" t="n">
        <f aca="false">Amplification!F52</f>
        <v>1.05837145715941</v>
      </c>
      <c r="G135" s="8" t="n">
        <f aca="false">Amplification!G52</f>
        <v>1.13089645707615</v>
      </c>
    </row>
    <row r="136" customFormat="false" ht="15" hidden="false" customHeight="true" outlineLevel="0" collapsed="false">
      <c r="A136" s="7" t="s">
        <v>111</v>
      </c>
      <c r="C136" s="8" t="n">
        <f aca="false">IS!C127</f>
        <v>0.0730665049524965</v>
      </c>
      <c r="D136" s="8" t="n">
        <f aca="false">IS!D127</f>
        <v>0.0303956316867183</v>
      </c>
      <c r="E136" s="8" t="n">
        <f aca="false">IS!E127</f>
        <v>0.0699064301582798</v>
      </c>
      <c r="F136" s="8" t="n">
        <f aca="false">IS!F127</f>
        <v>0.10630211189923</v>
      </c>
      <c r="G136" s="8" t="n">
        <f aca="false">IS!G127</f>
        <v>-0.054802913127221</v>
      </c>
    </row>
    <row r="137" customFormat="false" ht="15" hidden="false" customHeight="true" outlineLevel="0" collapsed="false">
      <c r="A137" s="11" t="s">
        <v>112</v>
      </c>
      <c r="C137" s="27" t="n">
        <f aca="false">C130-C131</f>
        <v>-0.0801788315398855</v>
      </c>
      <c r="D137" s="27" t="n">
        <f aca="false">D130-D131</f>
        <v>-0.0683276023611351</v>
      </c>
      <c r="E137" s="27" t="n">
        <f aca="false">E130-E131</f>
        <v>-0.145648878747844</v>
      </c>
      <c r="F137" s="27" t="n">
        <f aca="false">F130-F131</f>
        <v>-0.0676571206565899</v>
      </c>
      <c r="G137" s="27" t="n">
        <f aca="false">G130-G131</f>
        <v>-0.122414546687379</v>
      </c>
    </row>
    <row r="139" customFormat="false" ht="15" hidden="false" customHeight="true" outlineLevel="0" collapsed="false">
      <c r="A139" s="11" t="s">
        <v>113</v>
      </c>
    </row>
    <row r="140" customFormat="false" ht="15" hidden="false" customHeight="true" outlineLevel="0" collapsed="false">
      <c r="A140" s="7" t="s">
        <v>114</v>
      </c>
      <c r="B140" s="9" t="n">
        <f aca="false">Amplification!B72</f>
        <v>0.0963957582646438</v>
      </c>
    </row>
    <row r="141" customFormat="false" ht="15" hidden="false" customHeight="true" outlineLevel="0" collapsed="false">
      <c r="A141" s="7" t="s">
        <v>115</v>
      </c>
      <c r="B141" s="9" t="n">
        <f aca="false">Amplification!B73</f>
        <v>0.0511335813328608</v>
      </c>
    </row>
    <row r="142" customFormat="false" ht="15" hidden="false" customHeight="true" outlineLevel="0" collapsed="false">
      <c r="A142" s="11" t="s">
        <v>116</v>
      </c>
      <c r="B142" s="30" t="n">
        <f aca="false">Amplification!B74</f>
        <v>0.0452621769317829</v>
      </c>
    </row>
    <row r="143" customFormat="false" ht="15" hidden="false" customHeight="true" outlineLevel="0" collapsed="false"/>
    <row r="144" customFormat="false" ht="15" hidden="false" customHeight="true" outlineLevel="0" collapsed="false">
      <c r="A144" s="7" t="s">
        <v>117</v>
      </c>
      <c r="B144" s="9" t="n">
        <f aca="false">Amplification!B76</f>
        <v>0.0661468883245489</v>
      </c>
    </row>
    <row r="145" customFormat="false" ht="15" hidden="false" customHeight="true" outlineLevel="0" collapsed="false">
      <c r="A145" s="7" t="s">
        <v>118</v>
      </c>
      <c r="B145" s="9" t="n">
        <f aca="false">Amplification!B77</f>
        <v>0.0212085869262406</v>
      </c>
    </row>
    <row r="146" customFormat="false" ht="15" hidden="false" customHeight="true" outlineLevel="0" collapsed="false">
      <c r="A146" s="11" t="s">
        <v>119</v>
      </c>
      <c r="B146" s="30" t="n">
        <f aca="false">Amplification!B78</f>
        <v>0.0449383013983082</v>
      </c>
    </row>
    <row r="148" customFormat="false" ht="15" hidden="false" customHeight="true" outlineLevel="0" collapsed="false">
      <c r="A148" s="31" t="s">
        <v>120</v>
      </c>
      <c r="B148" s="6"/>
      <c r="C148" s="6"/>
      <c r="D148" s="6"/>
      <c r="E148" s="6"/>
      <c r="F148" s="6"/>
      <c r="G148" s="6"/>
      <c r="H148" s="6"/>
    </row>
    <row r="149" customFormat="false" ht="15" hidden="false" customHeight="true" outlineLevel="0" collapsed="false">
      <c r="A149" s="32" t="s">
        <v>121</v>
      </c>
    </row>
    <row r="150" customFormat="false" ht="15" hidden="false" customHeight="true" outlineLevel="0" collapsed="false">
      <c r="A150" s="32" t="s">
        <v>122</v>
      </c>
    </row>
    <row r="151" customFormat="false" ht="15" hidden="false" customHeight="true" outlineLevel="0" collapsed="false">
      <c r="A151" s="32" t="s">
        <v>123</v>
      </c>
    </row>
    <row r="152" customFormat="false" ht="15" hidden="false" customHeight="true" outlineLevel="0" collapsed="false"/>
    <row r="153" customFormat="false" ht="15" hidden="false" customHeight="true" outlineLevel="0" collapsed="false">
      <c r="A153" s="16" t="s">
        <v>124</v>
      </c>
    </row>
    <row r="154" customFormat="false" ht="15" hidden="false" customHeight="true" outlineLevel="0" collapsed="false">
      <c r="A154" s="14" t="s">
        <v>125</v>
      </c>
      <c r="B154" s="33" t="n">
        <f aca="false">Amplification!B85</f>
        <v>24.36</v>
      </c>
    </row>
    <row r="155" customFormat="false" ht="15" hidden="false" customHeight="true" outlineLevel="0" collapsed="false">
      <c r="A155" s="14" t="s">
        <v>12</v>
      </c>
      <c r="B155" s="33" t="n">
        <f aca="false">Amplification!B86</f>
        <v>20.0952655477042</v>
      </c>
    </row>
    <row r="156" customFormat="false" ht="15" hidden="false" customHeight="true" outlineLevel="0" collapsed="false">
      <c r="A156" s="14" t="s">
        <v>126</v>
      </c>
      <c r="B156" s="28" t="n">
        <f aca="false">Amplification!B87</f>
        <v>0.212225832108155</v>
      </c>
    </row>
    <row r="157" customFormat="false" ht="15" hidden="false" customHeight="true" outlineLevel="0" collapsed="false">
      <c r="A157" s="14" t="s">
        <v>127</v>
      </c>
      <c r="B157" s="34" t="n">
        <f aca="false">Amplification!B95</f>
        <v>0.048</v>
      </c>
    </row>
    <row r="158" customFormat="false" ht="15" hidden="false" customHeight="true" outlineLevel="0" collapsed="false">
      <c r="A158" s="14" t="s">
        <v>128</v>
      </c>
      <c r="B158" s="34" t="n">
        <f aca="false">Amplification!B107</f>
        <v>0.0436</v>
      </c>
    </row>
    <row r="159" customFormat="false" ht="15" hidden="false" customHeight="true" outlineLevel="0" collapsed="false">
      <c r="A159" s="14" t="s">
        <v>129</v>
      </c>
      <c r="B159" s="35" t="n">
        <f aca="false">(Amplification!B95-Amplification!B107)*10000</f>
        <v>44</v>
      </c>
    </row>
    <row r="160" customFormat="false" ht="15" hidden="false" customHeight="true" outlineLevel="0" collapsed="false"/>
    <row r="161" customFormat="false" ht="15" hidden="false" customHeight="true" outlineLevel="0" collapsed="false">
      <c r="A161" s="16" t="s">
        <v>130</v>
      </c>
    </row>
    <row r="162" customFormat="false" ht="15" hidden="false" customHeight="true" outlineLevel="0" collapsed="false">
      <c r="A162" s="14" t="s">
        <v>131</v>
      </c>
      <c r="B162" s="15" t="n">
        <f aca="false">Amplification!B92</f>
        <v>500000</v>
      </c>
    </row>
    <row r="163" customFormat="false" ht="15" hidden="false" customHeight="true" outlineLevel="0" collapsed="false">
      <c r="A163" s="14" t="s">
        <v>132</v>
      </c>
      <c r="B163" s="15" t="n">
        <f aca="false">Amplification!B94</f>
        <v>20525.4515599343</v>
      </c>
    </row>
    <row r="164" customFormat="false" ht="15" hidden="false" customHeight="true" outlineLevel="0" collapsed="false">
      <c r="A164" s="14" t="s">
        <v>133</v>
      </c>
      <c r="B164" s="15" t="n">
        <f aca="false">Amplification!B100</f>
        <v>1111111.11111111</v>
      </c>
    </row>
    <row r="165" customFormat="false" ht="15" hidden="false" customHeight="true" outlineLevel="0" collapsed="false">
      <c r="A165" s="14" t="s">
        <v>134</v>
      </c>
      <c r="B165" s="15" t="n">
        <f aca="false">Amplification!B102</f>
        <v>53333.3333333333</v>
      </c>
    </row>
    <row r="166" customFormat="false" ht="15" hidden="false" customHeight="true" outlineLevel="0" collapsed="false">
      <c r="A166" s="14" t="s">
        <v>135</v>
      </c>
      <c r="B166" s="36" t="n">
        <f aca="false">Amplification!B109</f>
        <v>112130.479102956</v>
      </c>
    </row>
    <row r="168" customFormat="false" ht="15" hidden="false" customHeight="true" outlineLevel="0" collapsed="false">
      <c r="A168" s="14" t="s">
        <v>136</v>
      </c>
      <c r="B168" s="33" t="n">
        <f aca="false">Amplification!B119</f>
        <v>20.0952655477042</v>
      </c>
    </row>
    <row r="169" customFormat="false" ht="15" hidden="false" customHeight="true" outlineLevel="0" collapsed="false">
      <c r="A169" s="14" t="s">
        <v>137</v>
      </c>
      <c r="B169" s="33" t="n">
        <f aca="false">Amplification!B118</f>
        <v>21.0804999555595</v>
      </c>
    </row>
    <row r="170" customFormat="false" ht="15" hidden="false" customHeight="true" outlineLevel="0" collapsed="false">
      <c r="A170" s="16" t="s">
        <v>138</v>
      </c>
      <c r="B170" s="37" t="n">
        <f aca="false">Amplification!B121</f>
        <v>0.985234407855366</v>
      </c>
    </row>
    <row r="171" customFormat="false" ht="15" hidden="false" customHeight="true" outlineLevel="0" collapsed="false">
      <c r="A171" s="16" t="s">
        <v>139</v>
      </c>
      <c r="B171" s="38" t="n">
        <f aca="false">Amplification!B122</f>
        <v>0.0490281855453225</v>
      </c>
    </row>
    <row r="172" customFormat="false" ht="15" hidden="false" customHeight="true" outlineLevel="0" collapsed="false"/>
    <row r="173" customFormat="false" ht="15" hidden="false" customHeight="true" outlineLevel="0" collapsed="false">
      <c r="A173" s="16" t="s">
        <v>140</v>
      </c>
    </row>
    <row r="174" customFormat="false" ht="15" hidden="false" customHeight="true" outlineLevel="0" collapsed="false">
      <c r="A174" s="14" t="s">
        <v>141</v>
      </c>
      <c r="B174" s="39" t="n">
        <f aca="false">Amplification!B133</f>
        <v>71693.9327717691</v>
      </c>
    </row>
    <row r="175" customFormat="false" ht="15" hidden="false" customHeight="true" outlineLevel="0" collapsed="false">
      <c r="A175" s="14" t="s">
        <v>142</v>
      </c>
      <c r="B175" s="17" t="n">
        <f aca="false">B169</f>
        <v>21.0804999555595</v>
      </c>
    </row>
    <row r="176" customFormat="false" ht="15" hidden="false" customHeight="true" outlineLevel="0" collapsed="false">
      <c r="A176" s="14" t="s">
        <v>143</v>
      </c>
      <c r="B176" s="15" t="n">
        <f aca="false">CFS!G24</f>
        <v>492223</v>
      </c>
    </row>
    <row r="177" customFormat="false" ht="15" hidden="false" customHeight="true" outlineLevel="0" collapsed="false">
      <c r="A177" s="14" t="s">
        <v>144</v>
      </c>
      <c r="B177" s="25" t="n">
        <f aca="false">CFS!H24/9*12</f>
        <v>433412</v>
      </c>
    </row>
    <row r="178" customFormat="false" ht="15" hidden="false" customHeight="true" outlineLevel="0" collapsed="false"/>
    <row r="179" customFormat="false" ht="15" hidden="false" customHeight="true" outlineLevel="0" collapsed="false">
      <c r="A179" s="16" t="s">
        <v>145</v>
      </c>
    </row>
    <row r="180" customFormat="false" ht="15" hidden="false" customHeight="true" outlineLevel="0" collapsed="false">
      <c r="A180" s="32" t="s">
        <v>146</v>
      </c>
    </row>
    <row r="181" customFormat="false" ht="15" hidden="false" customHeight="true" outlineLevel="0" collapsed="false">
      <c r="A181" s="32" t="s">
        <v>147</v>
      </c>
    </row>
    <row r="182" customFormat="false" ht="15" hidden="false" customHeight="true" outlineLevel="0" collapsed="false">
      <c r="A182" s="32" t="s">
        <v>148</v>
      </c>
    </row>
    <row r="183" customFormat="false" ht="15" hidden="false" customHeight="true" outlineLevel="0" collapsed="false">
      <c r="A183" s="32" t="s">
        <v>149</v>
      </c>
    </row>
    <row r="185" customFormat="false" ht="15" hidden="false" customHeight="true" outlineLevel="0" collapsed="false">
      <c r="A185" s="31" t="s">
        <v>150</v>
      </c>
      <c r="B185" s="6"/>
      <c r="C185" s="6"/>
      <c r="D185" s="6"/>
      <c r="E185" s="6"/>
      <c r="F185" s="6"/>
      <c r="G185" s="6"/>
      <c r="H185" s="6"/>
    </row>
    <row r="186" customFormat="false" ht="15" hidden="false" customHeight="true" outlineLevel="0" collapsed="false">
      <c r="A186" s="32" t="s">
        <v>151</v>
      </c>
    </row>
    <row r="187" customFormat="false" ht="15" hidden="false" customHeight="true" outlineLevel="0" collapsed="false">
      <c r="A187" s="32" t="s">
        <v>152</v>
      </c>
    </row>
    <row r="189" customFormat="false" ht="15" hidden="false" customHeight="true" outlineLevel="0" collapsed="false">
      <c r="A189" s="14" t="s">
        <v>153</v>
      </c>
      <c r="B189" s="15" t="n">
        <f aca="false">IS!B138</f>
        <v>0</v>
      </c>
      <c r="C189" s="15" t="n">
        <f aca="false">IS!C138</f>
        <v>0</v>
      </c>
      <c r="D189" s="15" t="n">
        <f aca="false">IS!D138</f>
        <v>0</v>
      </c>
      <c r="E189" s="15" t="n">
        <f aca="false">IS!E138</f>
        <v>0</v>
      </c>
      <c r="F189" s="15" t="n">
        <f aca="false">IS!F138</f>
        <v>0</v>
      </c>
      <c r="G189" s="15" t="n">
        <f aca="false">IS!G138</f>
        <v>0</v>
      </c>
      <c r="H189" s="15" t="n">
        <f aca="false">IS!H138</f>
        <v>0</v>
      </c>
    </row>
    <row r="190" customFormat="false" ht="15" hidden="false" customHeight="true" outlineLevel="0" collapsed="false">
      <c r="A190" s="14" t="s">
        <v>154</v>
      </c>
      <c r="B190" s="15" t="n">
        <f aca="false">IS!B139</f>
        <v>9268.5</v>
      </c>
      <c r="C190" s="15" t="n">
        <f aca="false">IS!C139</f>
        <v>12112.8</v>
      </c>
      <c r="D190" s="15" t="n">
        <f aca="false">IS!D139</f>
        <v>14671.8</v>
      </c>
      <c r="E190" s="15" t="n">
        <f aca="false">IS!E139</f>
        <v>24006.15</v>
      </c>
      <c r="F190" s="15" t="n">
        <f aca="false">IS!F139</f>
        <v>30713.25</v>
      </c>
      <c r="G190" s="15" t="n">
        <f aca="false">IS!G139</f>
        <v>34168.05</v>
      </c>
      <c r="H190" s="15" t="n">
        <f aca="false">IS!H139</f>
        <v>26428.2</v>
      </c>
    </row>
    <row r="191" customFormat="false" ht="15" hidden="false" customHeight="true" outlineLevel="0" collapsed="false">
      <c r="A191" s="14" t="s">
        <v>155</v>
      </c>
      <c r="B191" s="15" t="n">
        <f aca="false">IS!B140</f>
        <v>27294</v>
      </c>
      <c r="C191" s="15" t="n">
        <f aca="false">IS!C140</f>
        <v>55696</v>
      </c>
      <c r="D191" s="15" t="n">
        <f aca="false">IS!D140</f>
        <v>61384</v>
      </c>
      <c r="E191" s="15" t="n">
        <f aca="false">IS!E140</f>
        <v>61109</v>
      </c>
      <c r="F191" s="15" t="n">
        <f aca="false">IS!F140</f>
        <v>47628</v>
      </c>
      <c r="G191" s="15" t="n">
        <f aca="false">IS!G140</f>
        <v>49687</v>
      </c>
      <c r="H191" s="15" t="n">
        <f aca="false">IS!H140</f>
        <v>36545</v>
      </c>
    </row>
    <row r="192" customFormat="false" ht="15" hidden="false" customHeight="true" outlineLevel="0" collapsed="false">
      <c r="A192" s="14" t="s">
        <v>156</v>
      </c>
      <c r="B192" s="18" t="n">
        <f aca="false">IF(IS!B17=0,"",ABS(B190)/IS!B17)</f>
        <v>0.15</v>
      </c>
      <c r="C192" s="18" t="n">
        <f aca="false">IF(IS!C17=0,"",ABS(C190)/IS!C17)</f>
        <v>0.15</v>
      </c>
      <c r="D192" s="18" t="n">
        <f aca="false">IF(IS!D17=0,"",ABS(D190)/IS!D17)</f>
        <v>0.15</v>
      </c>
      <c r="E192" s="18" t="n">
        <f aca="false">IF(IS!E17=0,"",ABS(E190)/IS!E17)</f>
        <v>0.15</v>
      </c>
      <c r="F192" s="18" t="n">
        <f aca="false">IF(IS!F17=0,"",ABS(F190)/IS!F17)</f>
        <v>0.15</v>
      </c>
      <c r="G192" s="18" t="n">
        <f aca="false">IF(IS!G17=0,"",ABS(G190)/IS!G17)</f>
        <v>0.15</v>
      </c>
      <c r="H192" s="18" t="n">
        <f aca="false">IF(IS!H17=0,"",ABS(H190)/IS!H17)</f>
        <v>0.15</v>
      </c>
    </row>
    <row r="193" customFormat="false" ht="15" hidden="false" customHeight="true" outlineLevel="0" collapsed="false">
      <c r="A193" s="14" t="s">
        <v>157</v>
      </c>
      <c r="B193" s="18" t="n">
        <f aca="false">IF(IS!B17=0,"",ABS(B191)/IS!B17)</f>
        <v>0.441721961482441</v>
      </c>
      <c r="C193" s="18" t="n">
        <f aca="false">IF(IS!C17=0,"",ABS(C191)/IS!C17)</f>
        <v>0.689716663364375</v>
      </c>
      <c r="D193" s="18" t="n">
        <f aca="false">IF(IS!D17=0,"",ABS(D191)/IS!D17)</f>
        <v>0.627571259150207</v>
      </c>
      <c r="E193" s="18" t="n">
        <f aca="false">IF(IS!E17=0,"",ABS(E191)/IS!E17)</f>
        <v>0.38183340518992</v>
      </c>
      <c r="F193" s="18" t="n">
        <f aca="false">IF(IS!F17=0,"",ABS(F191)/IS!F17)</f>
        <v>0.232609704280726</v>
      </c>
      <c r="G193" s="18" t="n">
        <f aca="false">IF(IS!G17=0,"",ABS(G191)/IS!G17)</f>
        <v>0.218129217207303</v>
      </c>
      <c r="H193" s="18" t="n">
        <f aca="false">IF(IS!H17=0,"",ABS(H191)/IS!H17)</f>
        <v>0.207420482666243</v>
      </c>
    </row>
    <row r="195" customFormat="false" ht="15" hidden="false" customHeight="true" outlineLevel="0" collapsed="false">
      <c r="A195" s="14" t="s">
        <v>158</v>
      </c>
      <c r="B195" s="40" t="n">
        <f aca="false">IF(Ops!B6=0,"",ABS(B191)*1000/Ops!B6)</f>
        <v>3122.16884008236</v>
      </c>
      <c r="C195" s="40" t="n">
        <f aca="false">IF(Ops!C6=0,"",ABS(C191)*1000/Ops!C6)</f>
        <v>4578.00427420681</v>
      </c>
      <c r="D195" s="40" t="n">
        <f aca="false">IF(Ops!D6=0,"",ABS(D191)*1000/Ops!D6)</f>
        <v>4074.069157762</v>
      </c>
      <c r="E195" s="40" t="n">
        <f aca="false">IF(Ops!E6=0,"",ABS(E191)*1000/Ops!E6)</f>
        <v>2987.19264799335</v>
      </c>
      <c r="F195" s="40" t="n">
        <f aca="false">IF(Ops!F6=0,"",ABS(F191)*1000/Ops!F6)</f>
        <v>2162.74634456453</v>
      </c>
      <c r="G195" s="40" t="n">
        <f aca="false">IF(Ops!G6=0,"",ABS(G191)*1000/Ops!G6)</f>
        <v>2243.40798266209</v>
      </c>
      <c r="H195" s="40" t="n">
        <f aca="false">IF(Ops!H6=0,"",ABS(H191)*1000/Ops!H6)</f>
        <v>1561.08500640752</v>
      </c>
    </row>
    <row r="196" customFormat="false" ht="15" hidden="false" customHeight="true" outlineLevel="0" collapsed="false">
      <c r="A196" s="32" t="s">
        <v>159</v>
      </c>
    </row>
    <row r="198" customFormat="false" ht="15" hidden="false" customHeight="true" outlineLevel="0" collapsed="false">
      <c r="A198" s="16" t="s">
        <v>160</v>
      </c>
    </row>
    <row r="199" customFormat="false" ht="15" hidden="false" customHeight="true" outlineLevel="0" collapsed="false">
      <c r="A199" s="14" t="s">
        <v>161</v>
      </c>
      <c r="B199" s="15" t="n">
        <f aca="false">CFS!B19</f>
        <v>73385</v>
      </c>
      <c r="C199" s="15" t="n">
        <f aca="false">CFS!C19</f>
        <v>84175</v>
      </c>
      <c r="D199" s="15" t="n">
        <f aca="false">CFS!D19</f>
        <v>89381</v>
      </c>
      <c r="E199" s="15" t="n">
        <f aca="false">CFS!E19</f>
        <v>142904</v>
      </c>
      <c r="F199" s="15" t="n">
        <f aca="false">CFS!F19</f>
        <v>113262</v>
      </c>
      <c r="G199" s="15" t="n">
        <f aca="false">CFS!G19</f>
        <v>150405</v>
      </c>
      <c r="H199" s="15" t="n">
        <f aca="false">CFS!H19</f>
        <v>103256</v>
      </c>
    </row>
    <row r="200" customFormat="false" ht="15" hidden="false" customHeight="true" outlineLevel="0" collapsed="false">
      <c r="A200" s="14" t="s">
        <v>162</v>
      </c>
      <c r="B200" s="15" t="n">
        <f aca="false">CFS!B41</f>
        <v>-27294</v>
      </c>
      <c r="C200" s="15" t="n">
        <f aca="false">CFS!C41</f>
        <v>-55696</v>
      </c>
      <c r="D200" s="15" t="n">
        <f aca="false">CFS!D41</f>
        <v>-61384</v>
      </c>
      <c r="E200" s="15" t="n">
        <f aca="false">CFS!E41</f>
        <v>-61109</v>
      </c>
      <c r="F200" s="15" t="n">
        <f aca="false">CFS!F41</f>
        <v>-47628</v>
      </c>
      <c r="G200" s="15" t="n">
        <f aca="false">CFS!G41</f>
        <v>-49687</v>
      </c>
      <c r="H200" s="15" t="n">
        <f aca="false">CFS!H41</f>
        <v>-36545</v>
      </c>
    </row>
    <row r="201" customFormat="false" ht="15" hidden="false" customHeight="true" outlineLevel="0" collapsed="false">
      <c r="A201" s="16" t="s">
        <v>46</v>
      </c>
      <c r="B201" s="41" t="n">
        <f aca="false">B199+B200</f>
        <v>46091</v>
      </c>
      <c r="C201" s="41" t="n">
        <f aca="false">C199+C200</f>
        <v>28479</v>
      </c>
      <c r="D201" s="41" t="n">
        <f aca="false">D199+D200</f>
        <v>27997</v>
      </c>
      <c r="E201" s="41" t="n">
        <f aca="false">E199+E200</f>
        <v>81795</v>
      </c>
      <c r="F201" s="41" t="n">
        <f aca="false">F199+F200</f>
        <v>65634</v>
      </c>
      <c r="G201" s="41" t="n">
        <f aca="false">G199+G200</f>
        <v>100718</v>
      </c>
      <c r="H201" s="41" t="n">
        <f aca="false">H199+H200</f>
        <v>66711</v>
      </c>
    </row>
    <row r="202" customFormat="false" ht="15" hidden="false" customHeight="true" outlineLevel="0" collapsed="false">
      <c r="A202" s="14" t="s">
        <v>47</v>
      </c>
      <c r="B202" s="15" t="n">
        <f aca="false">IS!B131</f>
        <v>90608</v>
      </c>
      <c r="C202" s="15" t="n">
        <f aca="false">IS!C131</f>
        <v>103139</v>
      </c>
      <c r="D202" s="15" t="n">
        <f aca="false">IS!D131</f>
        <v>107766</v>
      </c>
      <c r="E202" s="15" t="n">
        <f aca="false">IS!E131</f>
        <v>138609</v>
      </c>
      <c r="F202" s="15" t="n">
        <f aca="false">IS!F131</f>
        <v>155344</v>
      </c>
      <c r="G202" s="15" t="n">
        <f aca="false">IS!G131</f>
        <v>181406</v>
      </c>
      <c r="H202" s="15" t="n">
        <f aca="false">IS!H131</f>
        <v>143614</v>
      </c>
    </row>
    <row r="203" customFormat="false" ht="15" hidden="false" customHeight="true" outlineLevel="0" collapsed="false">
      <c r="A203" s="16" t="s">
        <v>163</v>
      </c>
      <c r="B203" s="17" t="n">
        <f aca="false">B201-B202</f>
        <v>-44517</v>
      </c>
      <c r="C203" s="17" t="n">
        <f aca="false">C201-C202</f>
        <v>-74660</v>
      </c>
      <c r="D203" s="17" t="n">
        <f aca="false">D201-D202</f>
        <v>-79769</v>
      </c>
      <c r="E203" s="17" t="n">
        <f aca="false">E201-E202</f>
        <v>-56814</v>
      </c>
      <c r="F203" s="17" t="n">
        <f aca="false">F201-F202</f>
        <v>-89710</v>
      </c>
      <c r="G203" s="17" t="n">
        <f aca="false">G201-G202</f>
        <v>-80688</v>
      </c>
      <c r="H203" s="17" t="n">
        <f aca="false">H201-H202</f>
        <v>-76903</v>
      </c>
    </row>
    <row r="204" customFormat="false" ht="15" hidden="false" customHeight="true" outlineLevel="0" collapsed="false">
      <c r="A204" s="14" t="s">
        <v>164</v>
      </c>
      <c r="B204" s="18" t="n">
        <f aca="false">IF(B201=0,"",B202/B201)</f>
        <v>1.965850165976</v>
      </c>
      <c r="C204" s="18" t="n">
        <f aca="false">IF(C201=0,"",C202/C201)</f>
        <v>3.62158081393307</v>
      </c>
      <c r="D204" s="18" t="n">
        <f aca="false">IF(D201=0,"",D202/D201)</f>
        <v>3.8491981283709</v>
      </c>
      <c r="E204" s="18" t="n">
        <f aca="false">IF(E201=0,"",E202/E201)</f>
        <v>1.69459013387126</v>
      </c>
      <c r="F204" s="18" t="n">
        <f aca="false">IF(F201=0,"",F202/F201)</f>
        <v>2.3668220739251</v>
      </c>
      <c r="G204" s="18" t="n">
        <f aca="false">IF(G201=0,"",G202/G201)</f>
        <v>1.80112790166604</v>
      </c>
      <c r="H204" s="18" t="n">
        <f aca="false">IF(H201=0,"",H202/H201)</f>
        <v>2.15277840236243</v>
      </c>
    </row>
    <row r="205" customFormat="false" ht="15" hidden="false" customHeight="true" outlineLevel="0" collapsed="false">
      <c r="A205" s="14" t="s">
        <v>165</v>
      </c>
      <c r="B205" s="42" t="n">
        <f aca="false">IF(IS!B42=0,"",B201/IS!B42)</f>
        <v>0.585691594129233</v>
      </c>
      <c r="C205" s="42" t="n">
        <f aca="false">IF(IS!C42=0,"",C201/IS!C42)</f>
        <v>0.287841115827774</v>
      </c>
      <c r="D205" s="42" t="n">
        <f aca="false">IF(IS!D42=0,"",D201/IS!D42)</f>
        <v>0.230232806756412</v>
      </c>
      <c r="E205" s="42" t="n">
        <f aca="false">IF(IS!E42=0,"",E201/IS!E42)</f>
        <v>0.566090621561205</v>
      </c>
      <c r="F205" s="42" t="n">
        <f aca="false">IF(IS!F42=0,"",F201/IS!F42)</f>
        <v>0.404471532189979</v>
      </c>
      <c r="G205" s="42" t="n">
        <f aca="false">IF(IS!G42=0,"",G201/IS!G42)</f>
        <v>0.58963896190571</v>
      </c>
      <c r="H205" s="42" t="n">
        <f aca="false">IF(IS!H42=0,"",H201/IS!H42)</f>
        <v>0.366401019382549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3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B17" activeCellId="0" sqref="B17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13" min="2" style="1" width="14"/>
  </cols>
  <sheetData>
    <row r="1" customFormat="false" ht="15" hidden="false" customHeight="true" outlineLevel="0" collapsed="false">
      <c r="A1" s="2" t="s">
        <v>668</v>
      </c>
    </row>
    <row r="2" customFormat="false" ht="15" hidden="false" customHeight="true" outlineLevel="0" collapsed="false">
      <c r="A2" s="3" t="s">
        <v>669</v>
      </c>
    </row>
    <row r="3" customFormat="false" ht="15" hidden="false" customHeight="true" outlineLevel="0" collapsed="false">
      <c r="A3" s="3" t="s">
        <v>670</v>
      </c>
    </row>
    <row r="5" customFormat="false" ht="23.25" hidden="false" customHeight="true" outlineLevel="0" collapsed="false">
      <c r="B5" s="60" t="s">
        <v>671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I5" s="4" t="s">
        <v>169</v>
      </c>
      <c r="J5" s="4" t="s">
        <v>170</v>
      </c>
      <c r="K5" s="4" t="s">
        <v>171</v>
      </c>
      <c r="L5" s="4" t="s">
        <v>172</v>
      </c>
      <c r="M5" s="4" t="s">
        <v>173</v>
      </c>
    </row>
    <row r="7" customFormat="false" ht="15" hidden="false" customHeight="true" outlineLevel="0" collapsed="false">
      <c r="A7" s="31" t="s">
        <v>672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customFormat="false" ht="15" hidden="false" customHeight="true" outlineLevel="0" collapsed="false">
      <c r="A8" s="7"/>
      <c r="B8" s="10"/>
    </row>
    <row r="9" customFormat="false" ht="15" hidden="false" customHeight="true" outlineLevel="0" collapsed="false">
      <c r="A9" s="14" t="s">
        <v>50</v>
      </c>
      <c r="B9" s="15" t="n">
        <f aca="false">BS!B7+BS!B8</f>
        <v>1823104</v>
      </c>
    </row>
    <row r="10" customFormat="false" ht="15" hidden="false" customHeight="true" outlineLevel="0" collapsed="false">
      <c r="A10" s="14" t="s">
        <v>673</v>
      </c>
      <c r="B10" s="15" t="n">
        <f aca="false">BS!B9</f>
        <v>170521</v>
      </c>
    </row>
    <row r="11" customFormat="false" ht="15" hidden="false" customHeight="true" outlineLevel="0" collapsed="false">
      <c r="A11" s="14" t="s">
        <v>674</v>
      </c>
      <c r="B11" s="15" t="n">
        <f aca="false">BS!B10+BS!B11</f>
        <v>582275</v>
      </c>
    </row>
    <row r="12" customFormat="false" ht="15" hidden="false" customHeight="true" outlineLevel="0" collapsed="false">
      <c r="A12" s="14" t="s">
        <v>675</v>
      </c>
      <c r="B12" s="15" t="n">
        <f aca="false">BS!B12+BS!B13+BS!B14</f>
        <v>126755</v>
      </c>
    </row>
    <row r="13" customFormat="false" ht="15" hidden="false" customHeight="true" outlineLevel="0" collapsed="false">
      <c r="A13" s="16" t="s">
        <v>52</v>
      </c>
      <c r="B13" s="41" t="n">
        <f aca="false">SUM(B9:B12)</f>
        <v>2702655</v>
      </c>
    </row>
    <row r="14" customFormat="false" ht="15" hidden="false" customHeight="true" outlineLevel="0" collapsed="false">
      <c r="A14" s="14" t="s">
        <v>676</v>
      </c>
      <c r="B14" s="15" t="n">
        <f aca="false">BS!B26</f>
        <v>809839</v>
      </c>
    </row>
    <row r="15" customFormat="false" ht="15" hidden="false" customHeight="true" outlineLevel="0" collapsed="false">
      <c r="A15" s="16" t="s">
        <v>677</v>
      </c>
      <c r="B15" s="41" t="n">
        <f aca="false">B13-B14</f>
        <v>1892816</v>
      </c>
    </row>
    <row r="16" customFormat="false" ht="15" hidden="false" customHeight="true" outlineLevel="0" collapsed="false">
      <c r="A16" s="14" t="s">
        <v>678</v>
      </c>
      <c r="B16" s="15" t="n">
        <f aca="false">IS!B150</f>
        <v>91571</v>
      </c>
    </row>
    <row r="17" customFormat="false" ht="15" hidden="false" customHeight="true" outlineLevel="0" collapsed="false">
      <c r="A17" s="16" t="s">
        <v>12</v>
      </c>
      <c r="B17" s="37" t="n">
        <f aca="false">BS!B37</f>
        <v>20.6704742767907</v>
      </c>
    </row>
    <row r="18" customFormat="false" ht="15" hidden="false" customHeight="true" outlineLevel="0" collapsed="false">
      <c r="A18" s="14" t="s">
        <v>679</v>
      </c>
      <c r="B18" s="15" t="n">
        <f aca="false">BS!B7*BS!B42</f>
        <v>78312.5532</v>
      </c>
    </row>
    <row r="19" customFormat="false" ht="15" hidden="false" customHeight="true" outlineLevel="0" collapsed="false">
      <c r="A19" s="32" t="s">
        <v>680</v>
      </c>
      <c r="C19" s="9"/>
      <c r="D19" s="9"/>
      <c r="E19" s="9"/>
      <c r="F19" s="9"/>
      <c r="G19" s="9"/>
      <c r="I19" s="9"/>
      <c r="J19" s="9"/>
      <c r="K19" s="9"/>
      <c r="L19" s="9"/>
      <c r="M19" s="9"/>
    </row>
    <row r="20" customFormat="false" ht="15" hidden="false" customHeight="true" outlineLevel="0" collapsed="false">
      <c r="A20" s="31" t="s">
        <v>681</v>
      </c>
      <c r="B20" s="6"/>
      <c r="C20" s="98"/>
      <c r="D20" s="98"/>
      <c r="E20" s="98"/>
      <c r="F20" s="98"/>
      <c r="G20" s="98"/>
      <c r="H20" s="6"/>
      <c r="I20" s="98"/>
      <c r="J20" s="98"/>
      <c r="K20" s="98"/>
      <c r="L20" s="98"/>
      <c r="M20" s="98"/>
    </row>
    <row r="21" customFormat="false" ht="15" hidden="false" customHeight="true" outlineLevel="0" collapsed="false">
      <c r="A21" s="14" t="s">
        <v>682</v>
      </c>
      <c r="B21" s="99" t="n">
        <v>0.095</v>
      </c>
    </row>
    <row r="22" customFormat="false" ht="15" hidden="false" customHeight="true" outlineLevel="0" collapsed="false">
      <c r="A22" s="14" t="s">
        <v>683</v>
      </c>
      <c r="B22" s="99" t="n">
        <v>0.15</v>
      </c>
    </row>
    <row r="23" customFormat="false" ht="15" hidden="false" customHeight="true" outlineLevel="0" collapsed="false">
      <c r="A23" s="14" t="s">
        <v>684</v>
      </c>
      <c r="B23" s="100" t="n">
        <v>0.96</v>
      </c>
      <c r="C23" s="12"/>
      <c r="D23" s="12"/>
      <c r="E23" s="12"/>
      <c r="F23" s="12"/>
      <c r="G23" s="12"/>
      <c r="I23" s="12"/>
      <c r="J23" s="12"/>
      <c r="K23" s="12"/>
      <c r="L23" s="12"/>
      <c r="M23" s="12"/>
    </row>
    <row r="24" customFormat="false" ht="15" hidden="false" customHeight="true" outlineLevel="0" collapsed="false">
      <c r="A24" s="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customFormat="false" ht="15" hidden="false" customHeight="true" outlineLevel="0" collapsed="false">
      <c r="A25" s="14" t="s">
        <v>412</v>
      </c>
      <c r="C25" s="28" t="n">
        <f aca="false">IS!C80</f>
        <v>0.012</v>
      </c>
      <c r="D25" s="28" t="n">
        <f aca="false">IS!D80</f>
        <v>-0.005</v>
      </c>
      <c r="E25" s="28" t="n">
        <f aca="false">IS!E80</f>
        <v>0.1</v>
      </c>
      <c r="F25" s="28" t="n">
        <f aca="false">IS!F80</f>
        <v>0.1098</v>
      </c>
      <c r="G25" s="28" t="n">
        <f aca="false">IS!G80</f>
        <v>0.0863</v>
      </c>
      <c r="H25" s="12"/>
      <c r="I25" s="28" t="n">
        <f aca="false">Assumptions!B8</f>
        <v>0.038</v>
      </c>
      <c r="J25" s="28" t="n">
        <f aca="false">Assumptions!C8</f>
        <v>0.035</v>
      </c>
      <c r="K25" s="28" t="n">
        <f aca="false">Assumptions!D8</f>
        <v>0.035</v>
      </c>
      <c r="L25" s="28" t="n">
        <f aca="false">Assumptions!E8</f>
        <v>0.03</v>
      </c>
      <c r="M25" s="28" t="n">
        <f aca="false">Assumptions!F8</f>
        <v>0.03</v>
      </c>
    </row>
    <row r="26" customFormat="false" ht="15" hidden="false" customHeight="true" outlineLevel="0" collapsed="false">
      <c r="A26" s="14" t="s">
        <v>685</v>
      </c>
      <c r="C26" s="34" t="n">
        <f aca="false">'Return Profile'!C22</f>
        <v>0.0256</v>
      </c>
      <c r="D26" s="34" t="n">
        <f aca="false">'Return Profile'!D22</f>
        <v>0.0262</v>
      </c>
      <c r="E26" s="34" t="n">
        <f aca="false">'Return Profile'!E22</f>
        <v>0.0291</v>
      </c>
      <c r="F26" s="34" t="n">
        <f aca="false">'Return Profile'!F22</f>
        <v>0.0329</v>
      </c>
      <c r="G26" s="34" t="n">
        <f aca="false">'Return Profile'!G22</f>
        <v>0.0324</v>
      </c>
      <c r="H26" s="12"/>
      <c r="I26" s="34" t="n">
        <f aca="false">Assumptions!B21</f>
        <v>0.034</v>
      </c>
      <c r="J26" s="34" t="n">
        <f aca="false">Assumptions!C21</f>
        <v>0.035</v>
      </c>
      <c r="K26" s="34" t="n">
        <f aca="false">Assumptions!D21</f>
        <v>0.036</v>
      </c>
      <c r="L26" s="34" t="n">
        <f aca="false">Assumptions!E21</f>
        <v>0.036</v>
      </c>
      <c r="M26" s="34" t="n">
        <f aca="false">Assumptions!F21</f>
        <v>0.036</v>
      </c>
    </row>
    <row r="27" customFormat="false" ht="15" hidden="false" customHeight="true" outlineLevel="0" collapsed="false">
      <c r="A27" s="14" t="s">
        <v>500</v>
      </c>
      <c r="C27" s="34" t="n">
        <f aca="false">BS!C42</f>
        <v>0.042</v>
      </c>
      <c r="D27" s="34" t="n">
        <f aca="false">BS!D42</f>
        <v>0.0408</v>
      </c>
      <c r="E27" s="34" t="n">
        <f aca="false">BS!E42</f>
        <v>0.0406</v>
      </c>
      <c r="F27" s="34" t="n">
        <f aca="false">BS!F42</f>
        <v>0.0438</v>
      </c>
      <c r="G27" s="34" t="n">
        <f aca="false">BS!G42</f>
        <v>0.0438</v>
      </c>
      <c r="H27" s="12"/>
      <c r="I27" s="34" t="n">
        <f aca="false">BS!G42</f>
        <v>0.0438</v>
      </c>
      <c r="J27" s="34" t="n">
        <f aca="false">BS!G42</f>
        <v>0.0438</v>
      </c>
      <c r="K27" s="34" t="n">
        <f aca="false">BS!G42</f>
        <v>0.0438</v>
      </c>
      <c r="L27" s="34" t="n">
        <f aca="false">BS!G42</f>
        <v>0.0438</v>
      </c>
      <c r="M27" s="34" t="n">
        <f aca="false">BS!G42</f>
        <v>0.0438</v>
      </c>
    </row>
    <row r="28" customFormat="false" ht="15" hidden="false" customHeight="true" outlineLevel="0" collapsed="false">
      <c r="A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customFormat="false" ht="15" hidden="false" customHeight="true" outlineLevel="0" collapsed="false">
      <c r="A29" s="31" t="s">
        <v>686</v>
      </c>
      <c r="B29" s="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customFormat="false" ht="15" hidden="false" customHeight="true" outlineLevel="0" collapsed="false">
      <c r="A30" s="14" t="s">
        <v>687</v>
      </c>
      <c r="C30" s="25" t="n">
        <f aca="false">B18</f>
        <v>78312.5532</v>
      </c>
      <c r="D30" s="25" t="n">
        <f aca="false">C32</f>
        <v>79252.3038384</v>
      </c>
      <c r="E30" s="25" t="n">
        <f aca="false">D32</f>
        <v>78856.042319208</v>
      </c>
      <c r="F30" s="25" t="n">
        <f aca="false">E32</f>
        <v>86741.6465511288</v>
      </c>
      <c r="G30" s="25" t="n">
        <f aca="false">F32</f>
        <v>96265.8793424427</v>
      </c>
      <c r="H30" s="12"/>
      <c r="I30" s="25" t="n">
        <f aca="false">G32</f>
        <v>104573.624729696</v>
      </c>
      <c r="J30" s="25" t="n">
        <f aca="false">I32</f>
        <v>108547.422469424</v>
      </c>
      <c r="K30" s="25" t="n">
        <f aca="false">J32</f>
        <v>112346.582255854</v>
      </c>
      <c r="L30" s="25" t="n">
        <f aca="false">K32</f>
        <v>116278.712634809</v>
      </c>
      <c r="M30" s="25" t="n">
        <f aca="false">L32</f>
        <v>119767.074013853</v>
      </c>
    </row>
    <row r="31" customFormat="false" ht="15" hidden="false" customHeight="true" outlineLevel="0" collapsed="false">
      <c r="A31" s="14" t="s">
        <v>84</v>
      </c>
      <c r="C31" s="18" t="n">
        <f aca="false">C25</f>
        <v>0.012</v>
      </c>
      <c r="D31" s="18" t="n">
        <f aca="false">D25</f>
        <v>-0.005</v>
      </c>
      <c r="E31" s="18" t="n">
        <f aca="false">E25</f>
        <v>0.1</v>
      </c>
      <c r="F31" s="18" t="n">
        <f aca="false">F25</f>
        <v>0.1098</v>
      </c>
      <c r="G31" s="18" t="n">
        <f aca="false">G25</f>
        <v>0.0863</v>
      </c>
      <c r="H31" s="18"/>
      <c r="I31" s="18" t="n">
        <f aca="false">I25</f>
        <v>0.038</v>
      </c>
      <c r="J31" s="18" t="n">
        <f aca="false">J25</f>
        <v>0.035</v>
      </c>
      <c r="K31" s="18" t="n">
        <f aca="false">K25</f>
        <v>0.035</v>
      </c>
      <c r="L31" s="18" t="n">
        <f aca="false">L25</f>
        <v>0.03</v>
      </c>
      <c r="M31" s="18" t="n">
        <f aca="false">M25</f>
        <v>0.03</v>
      </c>
    </row>
    <row r="32" customFormat="false" ht="15" hidden="false" customHeight="true" outlineLevel="0" collapsed="false">
      <c r="A32" s="16" t="s">
        <v>541</v>
      </c>
      <c r="C32" s="41" t="n">
        <f aca="false">C30*(1+C31)</f>
        <v>79252.3038384</v>
      </c>
      <c r="D32" s="41" t="n">
        <f aca="false">D30*(1+D31)</f>
        <v>78856.042319208</v>
      </c>
      <c r="E32" s="41" t="n">
        <f aca="false">E30*(1+E31)</f>
        <v>86741.6465511288</v>
      </c>
      <c r="F32" s="41" t="n">
        <f aca="false">F30*(1+F31)</f>
        <v>96265.8793424427</v>
      </c>
      <c r="G32" s="41" t="n">
        <f aca="false">G30*(1+G31)</f>
        <v>104573.624729696</v>
      </c>
      <c r="H32" s="41"/>
      <c r="I32" s="41" t="n">
        <f aca="false">I30*(1+I31)</f>
        <v>108547.422469424</v>
      </c>
      <c r="J32" s="41" t="n">
        <f aca="false">J30*(1+J31)</f>
        <v>112346.582255854</v>
      </c>
      <c r="K32" s="41" t="n">
        <f aca="false">K30*(1+K31)</f>
        <v>116278.712634809</v>
      </c>
      <c r="L32" s="41" t="n">
        <f aca="false">L30*(1+L31)</f>
        <v>119767.074013853</v>
      </c>
      <c r="M32" s="41" t="n">
        <f aca="false">M30*(1+M31)</f>
        <v>123360.086234269</v>
      </c>
    </row>
    <row r="33" customFormat="false" ht="15" hidden="false" customHeight="true" outlineLevel="0" collapsed="false">
      <c r="A33" s="14" t="s">
        <v>688</v>
      </c>
      <c r="C33" s="25" t="n">
        <f aca="false">-$B$21*C32</f>
        <v>-7528.968864648</v>
      </c>
      <c r="D33" s="25" t="n">
        <f aca="false">-$B$21*D32</f>
        <v>-7491.32402032476</v>
      </c>
      <c r="E33" s="25" t="n">
        <f aca="false">-$B$21*E32</f>
        <v>-8240.45642235724</v>
      </c>
      <c r="F33" s="25" t="n">
        <f aca="false">-$B$21*F32</f>
        <v>-9145.25853753206</v>
      </c>
      <c r="G33" s="25" t="n">
        <f aca="false">-$B$21*G32</f>
        <v>-9934.49434932108</v>
      </c>
      <c r="H33" s="25"/>
      <c r="I33" s="25" t="n">
        <f aca="false">-$B$21*I32</f>
        <v>-10312.0051345953</v>
      </c>
      <c r="J33" s="25" t="n">
        <f aca="false">-$B$21*J32</f>
        <v>-10672.9253143061</v>
      </c>
      <c r="K33" s="25" t="n">
        <f aca="false">-$B$21*K32</f>
        <v>-11046.4777003068</v>
      </c>
      <c r="L33" s="25" t="n">
        <f aca="false">-$B$21*L32</f>
        <v>-11377.872031316</v>
      </c>
      <c r="M33" s="25" t="n">
        <f aca="false">-$B$21*M32</f>
        <v>-11719.2081922555</v>
      </c>
    </row>
    <row r="34" customFormat="false" ht="15" hidden="false" customHeight="true" outlineLevel="0" collapsed="false">
      <c r="A34" s="14" t="s">
        <v>689</v>
      </c>
      <c r="C34" s="25" t="n">
        <f aca="false">-BS!$B$20*C26</f>
        <v>-18884.5568</v>
      </c>
      <c r="D34" s="25" t="n">
        <f aca="false">-BS!$B$20*D26</f>
        <v>-19327.1636</v>
      </c>
      <c r="E34" s="25" t="n">
        <f aca="false">-BS!$B$20*E26</f>
        <v>-21466.4298</v>
      </c>
      <c r="F34" s="25" t="n">
        <f aca="false">-BS!$B$20*F26</f>
        <v>-24269.6062</v>
      </c>
      <c r="G34" s="25" t="n">
        <f aca="false">-BS!$B$20*G26</f>
        <v>-23900.7672</v>
      </c>
      <c r="H34" s="25"/>
      <c r="I34" s="25" t="n">
        <f aca="false">-BS!$B$20*I26</f>
        <v>-25081.052</v>
      </c>
      <c r="J34" s="25" t="n">
        <f aca="false">-BS!$B$20*J26</f>
        <v>-25818.73</v>
      </c>
      <c r="K34" s="25" t="n">
        <f aca="false">-BS!$B$20*K26</f>
        <v>-26556.408</v>
      </c>
      <c r="L34" s="25" t="n">
        <f aca="false">-BS!$B$20*L26</f>
        <v>-26556.408</v>
      </c>
      <c r="M34" s="25" t="n">
        <f aca="false">-BS!$B$20*M26</f>
        <v>-26556.408</v>
      </c>
    </row>
    <row r="35" customFormat="false" ht="15" hidden="false" customHeight="true" outlineLevel="0" collapsed="false">
      <c r="A35" s="14" t="s">
        <v>690</v>
      </c>
      <c r="B35" s="15"/>
      <c r="C35" s="25" t="n">
        <f aca="false">IS!$B$21</f>
        <v>48505</v>
      </c>
      <c r="D35" s="25" t="n">
        <f aca="false">IS!$B$21</f>
        <v>48505</v>
      </c>
      <c r="E35" s="25" t="n">
        <f aca="false">IS!$B$21</f>
        <v>48505</v>
      </c>
      <c r="F35" s="25" t="n">
        <f aca="false">IS!$B$21</f>
        <v>48505</v>
      </c>
      <c r="G35" s="25" t="n">
        <f aca="false">IS!$B$21</f>
        <v>48505</v>
      </c>
      <c r="H35" s="25"/>
      <c r="I35" s="25" t="n">
        <f aca="false">IS!$B$21</f>
        <v>48505</v>
      </c>
      <c r="J35" s="25" t="n">
        <f aca="false">IS!$B$21</f>
        <v>48505</v>
      </c>
      <c r="K35" s="25" t="n">
        <f aca="false">IS!$B$21</f>
        <v>48505</v>
      </c>
      <c r="L35" s="25" t="n">
        <f aca="false">IS!$B$21</f>
        <v>48505</v>
      </c>
      <c r="M35" s="25" t="n">
        <f aca="false">IS!$B$21</f>
        <v>48505</v>
      </c>
    </row>
    <row r="36" customFormat="false" ht="15" hidden="false" customHeight="true" outlineLevel="0" collapsed="false">
      <c r="A36" s="16" t="s">
        <v>691</v>
      </c>
      <c r="C36" s="41" t="n">
        <f aca="false">C32+C33+C34+C35</f>
        <v>101343.778173752</v>
      </c>
      <c r="D36" s="41" t="n">
        <f aca="false">D32+D33+D34+D35</f>
        <v>100542.554698883</v>
      </c>
      <c r="E36" s="41" t="n">
        <f aca="false">E32+E33+E34+E35</f>
        <v>105539.760328772</v>
      </c>
      <c r="F36" s="41" t="n">
        <f aca="false">F32+F33+F34+F35</f>
        <v>111356.014604911</v>
      </c>
      <c r="G36" s="41" t="n">
        <f aca="false">G32+G33+G34+G35</f>
        <v>119243.363180374</v>
      </c>
      <c r="H36" s="41"/>
      <c r="I36" s="41" t="n">
        <f aca="false">I32+I33+I34+I35</f>
        <v>121659.365334829</v>
      </c>
      <c r="J36" s="41" t="n">
        <f aca="false">J32+J33+J34+J35</f>
        <v>124359.926941548</v>
      </c>
      <c r="K36" s="41" t="n">
        <f aca="false">K32+K33+K34+K35</f>
        <v>127180.826934502</v>
      </c>
      <c r="L36" s="41" t="n">
        <f aca="false">L32+L33+L34+L35</f>
        <v>130337.793982537</v>
      </c>
      <c r="M36" s="41" t="n">
        <f aca="false">M32+M33+M34+M35</f>
        <v>133589.470042013</v>
      </c>
    </row>
    <row r="37" customFormat="false" ht="15" hidden="false" customHeight="true" outlineLevel="0" collapsed="false">
      <c r="A37" s="14" t="s">
        <v>692</v>
      </c>
      <c r="C37" s="25" t="n">
        <f aca="false">-$B$22*C32</f>
        <v>-11887.84557576</v>
      </c>
      <c r="D37" s="25" t="n">
        <f aca="false">-$B$22*D32</f>
        <v>-11828.4063478812</v>
      </c>
      <c r="E37" s="25" t="n">
        <f aca="false">-$B$22*E32</f>
        <v>-13011.2469826693</v>
      </c>
      <c r="F37" s="25" t="n">
        <f aca="false">-$B$22*F32</f>
        <v>-14439.8819013664</v>
      </c>
      <c r="G37" s="25" t="n">
        <f aca="false">-$B$22*G32</f>
        <v>-15686.0437094543</v>
      </c>
      <c r="H37" s="25"/>
      <c r="I37" s="25" t="n">
        <f aca="false">-$B$22*I32</f>
        <v>-16282.1133704136</v>
      </c>
      <c r="J37" s="25" t="n">
        <f aca="false">-$B$22*J32</f>
        <v>-16851.9873383781</v>
      </c>
      <c r="K37" s="25" t="n">
        <f aca="false">-$B$22*K32</f>
        <v>-17441.8068952213</v>
      </c>
      <c r="L37" s="25" t="n">
        <f aca="false">-$B$22*L32</f>
        <v>-17965.0611020779</v>
      </c>
      <c r="M37" s="25" t="n">
        <f aca="false">-$B$22*M32</f>
        <v>-18504.0129351403</v>
      </c>
    </row>
    <row r="38" customFormat="false" ht="15" hidden="false" customHeight="true" outlineLevel="0" collapsed="false">
      <c r="A38" s="16" t="s">
        <v>693</v>
      </c>
      <c r="C38" s="41" t="n">
        <f aca="false">C36+C37</f>
        <v>89455.932597992</v>
      </c>
      <c r="D38" s="41" t="n">
        <f aca="false">D36+D37</f>
        <v>88714.148351002</v>
      </c>
      <c r="E38" s="41" t="n">
        <f aca="false">E36+E37</f>
        <v>92528.5133461022</v>
      </c>
      <c r="F38" s="41" t="n">
        <f aca="false">F36+F37</f>
        <v>96916.1327035443</v>
      </c>
      <c r="G38" s="41" t="n">
        <f aca="false">G36+G37</f>
        <v>103557.31947092</v>
      </c>
      <c r="H38" s="41"/>
      <c r="I38" s="41" t="n">
        <f aca="false">I36+I37</f>
        <v>105377.251964415</v>
      </c>
      <c r="J38" s="41" t="n">
        <f aca="false">J36+J37</f>
        <v>107507.93960317</v>
      </c>
      <c r="K38" s="41" t="n">
        <f aca="false">K36+K37</f>
        <v>109739.020039281</v>
      </c>
      <c r="L38" s="41" t="n">
        <f aca="false">L36+L37</f>
        <v>112372.732880459</v>
      </c>
      <c r="M38" s="41" t="n">
        <f aca="false">M36+M37</f>
        <v>115085.457106873</v>
      </c>
    </row>
    <row r="39" customFormat="false" ht="15" hidden="false" customHeight="true" outlineLevel="0" collapsed="false">
      <c r="A39" s="14" t="s">
        <v>694</v>
      </c>
      <c r="B39" s="8"/>
      <c r="C39" s="25" t="n">
        <f aca="false">-$B$23*$B$16</f>
        <v>-87908.16</v>
      </c>
      <c r="D39" s="25" t="n">
        <f aca="false">-$B$23*$B$16</f>
        <v>-87908.16</v>
      </c>
      <c r="E39" s="25" t="n">
        <f aca="false">-$B$23*$B$16</f>
        <v>-87908.16</v>
      </c>
      <c r="F39" s="25" t="n">
        <f aca="false">-$B$23*$B$16</f>
        <v>-87908.16</v>
      </c>
      <c r="G39" s="25" t="n">
        <f aca="false">-$B$23*$B$16</f>
        <v>-87908.16</v>
      </c>
      <c r="H39" s="25"/>
      <c r="I39" s="25" t="n">
        <f aca="false">-$B$23*$B$16</f>
        <v>-87908.16</v>
      </c>
      <c r="J39" s="25" t="n">
        <f aca="false">-$B$23*$B$16</f>
        <v>-87908.16</v>
      </c>
      <c r="K39" s="25" t="n">
        <f aca="false">-$B$23*$B$16</f>
        <v>-87908.16</v>
      </c>
      <c r="L39" s="25" t="n">
        <f aca="false">-$B$23*$B$16</f>
        <v>-87908.16</v>
      </c>
      <c r="M39" s="25" t="n">
        <f aca="false">-$B$23*$B$16</f>
        <v>-87908.16</v>
      </c>
    </row>
    <row r="40" customFormat="false" ht="15" hidden="false" customHeight="true" outlineLevel="0" collapsed="false">
      <c r="A40" s="16" t="s">
        <v>695</v>
      </c>
      <c r="C40" s="41" t="n">
        <f aca="false">C38+C39</f>
        <v>1547.77259799198</v>
      </c>
      <c r="D40" s="41" t="n">
        <f aca="false">D38+D39</f>
        <v>805.98835100203</v>
      </c>
      <c r="E40" s="41" t="n">
        <f aca="false">E38+E39</f>
        <v>4620.35334610223</v>
      </c>
      <c r="F40" s="41" t="n">
        <f aca="false">F38+F39</f>
        <v>9007.97270354426</v>
      </c>
      <c r="G40" s="41" t="n">
        <f aca="false">G38+G39</f>
        <v>15649.1594709201</v>
      </c>
      <c r="H40" s="41"/>
      <c r="I40" s="41" t="n">
        <f aca="false">I38+I39</f>
        <v>17469.0919644151</v>
      </c>
      <c r="J40" s="41" t="n">
        <f aca="false">J38+J39</f>
        <v>19599.7796031696</v>
      </c>
      <c r="K40" s="41" t="n">
        <f aca="false">K38+K39</f>
        <v>21830.8600392806</v>
      </c>
      <c r="L40" s="41" t="n">
        <f aca="false">L38+L39</f>
        <v>24464.572880459</v>
      </c>
      <c r="M40" s="41" t="n">
        <f aca="false">M38+M39</f>
        <v>27177.2971068728</v>
      </c>
    </row>
    <row r="42" customFormat="false" ht="15" hidden="false" customHeight="true" outlineLevel="0" collapsed="false">
      <c r="A42" s="31" t="s">
        <v>696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customFormat="false" ht="15" hidden="false" customHeight="true" outlineLevel="0" collapsed="false">
      <c r="A43" s="14" t="s">
        <v>697</v>
      </c>
      <c r="C43" s="25" t="n">
        <f aca="false">C32/C27</f>
        <v>1886959.6152</v>
      </c>
      <c r="D43" s="25" t="n">
        <f aca="false">D32/D27</f>
        <v>1932746.13527471</v>
      </c>
      <c r="E43" s="25" t="n">
        <f aca="false">E32/E27</f>
        <v>2136493.75741697</v>
      </c>
      <c r="F43" s="25" t="n">
        <f aca="false">F32/F27</f>
        <v>2197851.12653979</v>
      </c>
      <c r="G43" s="25" t="n">
        <f aca="false">G32/G27</f>
        <v>2387525.67876017</v>
      </c>
      <c r="H43" s="25"/>
      <c r="I43" s="25" t="n">
        <f aca="false">I32/I27</f>
        <v>2478251.65455306</v>
      </c>
      <c r="J43" s="25" t="n">
        <f aca="false">J32/J27</f>
        <v>2564990.46246242</v>
      </c>
      <c r="K43" s="25" t="n">
        <f aca="false">K32/K27</f>
        <v>2654765.1286486</v>
      </c>
      <c r="L43" s="25" t="n">
        <f aca="false">L32/L27</f>
        <v>2734408.08250806</v>
      </c>
      <c r="M43" s="25" t="n">
        <f aca="false">M32/M27</f>
        <v>2816440.3249833</v>
      </c>
    </row>
    <row r="44" customFormat="false" ht="15" hidden="false" customHeight="true" outlineLevel="0" collapsed="false">
      <c r="A44" s="14" t="s">
        <v>698</v>
      </c>
      <c r="C44" s="25" t="n">
        <f aca="false">$B$10</f>
        <v>170521</v>
      </c>
      <c r="D44" s="25" t="n">
        <f aca="false">$B$10</f>
        <v>170521</v>
      </c>
      <c r="E44" s="25" t="n">
        <f aca="false">$B$10</f>
        <v>170521</v>
      </c>
      <c r="F44" s="25" t="n">
        <f aca="false">$B$10</f>
        <v>170521</v>
      </c>
      <c r="G44" s="25" t="n">
        <f aca="false">$B$10</f>
        <v>170521</v>
      </c>
      <c r="H44" s="25"/>
      <c r="I44" s="25" t="n">
        <f aca="false">$B$10</f>
        <v>170521</v>
      </c>
      <c r="J44" s="25" t="n">
        <f aca="false">$B$10</f>
        <v>170521</v>
      </c>
      <c r="K44" s="25" t="n">
        <f aca="false">$B$10</f>
        <v>170521</v>
      </c>
      <c r="L44" s="25" t="n">
        <f aca="false">$B$10</f>
        <v>170521</v>
      </c>
      <c r="M44" s="25" t="n">
        <f aca="false">$B$10</f>
        <v>170521</v>
      </c>
    </row>
    <row r="45" customFormat="false" ht="15" hidden="false" customHeight="true" outlineLevel="0" collapsed="false">
      <c r="A45" s="14" t="s">
        <v>699</v>
      </c>
      <c r="C45" s="25" t="n">
        <f aca="false">$B$11</f>
        <v>582275</v>
      </c>
      <c r="D45" s="25" t="n">
        <f aca="false">$B$11</f>
        <v>582275</v>
      </c>
      <c r="E45" s="25" t="n">
        <f aca="false">$B$11</f>
        <v>582275</v>
      </c>
      <c r="F45" s="25" t="n">
        <f aca="false">$B$11</f>
        <v>582275</v>
      </c>
      <c r="G45" s="25" t="n">
        <f aca="false">$B$11</f>
        <v>582275</v>
      </c>
      <c r="H45" s="25"/>
      <c r="I45" s="25" t="n">
        <f aca="false">$B$11</f>
        <v>582275</v>
      </c>
      <c r="J45" s="25" t="n">
        <f aca="false">$B$11</f>
        <v>582275</v>
      </c>
      <c r="K45" s="25" t="n">
        <f aca="false">$B$11</f>
        <v>582275</v>
      </c>
      <c r="L45" s="25" t="n">
        <f aca="false">$B$11</f>
        <v>582275</v>
      </c>
      <c r="M45" s="25" t="n">
        <f aca="false">$B$11</f>
        <v>582275</v>
      </c>
    </row>
    <row r="46" customFormat="false" ht="15" hidden="false" customHeight="true" outlineLevel="0" collapsed="false">
      <c r="A46" s="14" t="s">
        <v>700</v>
      </c>
      <c r="C46" s="25" t="n">
        <f aca="false">$B$12</f>
        <v>126755</v>
      </c>
      <c r="D46" s="25" t="n">
        <f aca="false">$B$12</f>
        <v>126755</v>
      </c>
      <c r="E46" s="25" t="n">
        <f aca="false">$B$12</f>
        <v>126755</v>
      </c>
      <c r="F46" s="25" t="n">
        <f aca="false">$B$12</f>
        <v>126755</v>
      </c>
      <c r="G46" s="25" t="n">
        <f aca="false">$B$12</f>
        <v>126755</v>
      </c>
      <c r="H46" s="25"/>
      <c r="I46" s="25" t="n">
        <f aca="false">$B$12</f>
        <v>126755</v>
      </c>
      <c r="J46" s="25" t="n">
        <f aca="false">$B$12</f>
        <v>126755</v>
      </c>
      <c r="K46" s="25" t="n">
        <f aca="false">$B$12</f>
        <v>126755</v>
      </c>
      <c r="L46" s="25" t="n">
        <f aca="false">$B$12</f>
        <v>126755</v>
      </c>
      <c r="M46" s="25" t="n">
        <f aca="false">$B$12</f>
        <v>126755</v>
      </c>
    </row>
    <row r="47" customFormat="false" ht="15" hidden="false" customHeight="true" outlineLevel="0" collapsed="false">
      <c r="A47" s="16" t="s">
        <v>701</v>
      </c>
      <c r="C47" s="41" t="n">
        <f aca="false">SUM(C43:C46)</f>
        <v>2766510.6152</v>
      </c>
      <c r="D47" s="41" t="n">
        <f aca="false">SUM(D43:D46)</f>
        <v>2812297.13527471</v>
      </c>
      <c r="E47" s="41" t="n">
        <f aca="false">SUM(E43:E46)</f>
        <v>3016044.75741697</v>
      </c>
      <c r="F47" s="41" t="n">
        <f aca="false">SUM(F43:F46)</f>
        <v>3077402.12653979</v>
      </c>
      <c r="G47" s="41" t="n">
        <f aca="false">SUM(G43:G46)</f>
        <v>3267076.67876017</v>
      </c>
      <c r="H47" s="41"/>
      <c r="I47" s="41" t="n">
        <f aca="false">SUM(I43:I46)</f>
        <v>3357802.65455306</v>
      </c>
      <c r="J47" s="41" t="n">
        <f aca="false">SUM(J43:J46)</f>
        <v>3444541.46246242</v>
      </c>
      <c r="K47" s="41" t="n">
        <f aca="false">SUM(K43:K46)</f>
        <v>3534316.1286486</v>
      </c>
      <c r="L47" s="41" t="n">
        <f aca="false">SUM(L43:L46)</f>
        <v>3613959.08250806</v>
      </c>
      <c r="M47" s="41" t="n">
        <f aca="false">SUM(M43:M46)</f>
        <v>3695991.3249833</v>
      </c>
    </row>
    <row r="48" customFormat="false" ht="15" hidden="false" customHeight="true" outlineLevel="0" collapsed="false">
      <c r="A48" s="14" t="s">
        <v>702</v>
      </c>
      <c r="C48" s="25" t="n">
        <f aca="false">$B$14</f>
        <v>809839</v>
      </c>
      <c r="D48" s="25" t="n">
        <f aca="false">$B$14</f>
        <v>809839</v>
      </c>
      <c r="E48" s="25" t="n">
        <f aca="false">$B$14</f>
        <v>809839</v>
      </c>
      <c r="F48" s="25" t="n">
        <f aca="false">$B$14</f>
        <v>809839</v>
      </c>
      <c r="G48" s="25" t="n">
        <f aca="false">$B$14</f>
        <v>809839</v>
      </c>
      <c r="H48" s="25"/>
      <c r="I48" s="25" t="n">
        <f aca="false">$B$14</f>
        <v>809839</v>
      </c>
      <c r="J48" s="25" t="n">
        <f aca="false">$B$14</f>
        <v>809839</v>
      </c>
      <c r="K48" s="25" t="n">
        <f aca="false">$B$14</f>
        <v>809839</v>
      </c>
      <c r="L48" s="25" t="n">
        <f aca="false">$B$14</f>
        <v>809839</v>
      </c>
      <c r="M48" s="25" t="n">
        <f aca="false">$B$14</f>
        <v>809839</v>
      </c>
    </row>
    <row r="49" customFormat="false" ht="15" hidden="false" customHeight="true" outlineLevel="0" collapsed="false">
      <c r="A49" s="16" t="s">
        <v>703</v>
      </c>
      <c r="C49" s="41" t="n">
        <f aca="false">C47-C48</f>
        <v>1956671.6152</v>
      </c>
      <c r="D49" s="41" t="n">
        <f aca="false">D47-D48</f>
        <v>2002458.13527471</v>
      </c>
      <c r="E49" s="41" t="n">
        <f aca="false">E47-E48</f>
        <v>2206205.75741697</v>
      </c>
      <c r="F49" s="41" t="n">
        <f aca="false">F47-F48</f>
        <v>2267563.12653979</v>
      </c>
      <c r="G49" s="41" t="n">
        <f aca="false">G47-G48</f>
        <v>2457237.67876017</v>
      </c>
      <c r="H49" s="41"/>
      <c r="I49" s="41" t="n">
        <f aca="false">I47-I48</f>
        <v>2547963.65455306</v>
      </c>
      <c r="J49" s="41" t="n">
        <f aca="false">J47-J48</f>
        <v>2634702.46246242</v>
      </c>
      <c r="K49" s="41" t="n">
        <f aca="false">K47-K48</f>
        <v>2724477.1286486</v>
      </c>
      <c r="L49" s="41" t="n">
        <f aca="false">L47-L48</f>
        <v>2804120.08250806</v>
      </c>
      <c r="M49" s="41" t="n">
        <f aca="false">M47-M48</f>
        <v>2886152.3249833</v>
      </c>
    </row>
    <row r="50" customFormat="false" ht="15" hidden="false" customHeight="true" outlineLevel="0" collapsed="false">
      <c r="A50" s="14" t="s">
        <v>704</v>
      </c>
      <c r="C50" s="25" t="n">
        <f aca="false">$B$16</f>
        <v>91571</v>
      </c>
      <c r="D50" s="25" t="n">
        <f aca="false">$B$16</f>
        <v>91571</v>
      </c>
      <c r="E50" s="25" t="n">
        <f aca="false">$B$16</f>
        <v>91571</v>
      </c>
      <c r="F50" s="25" t="n">
        <f aca="false">$B$16</f>
        <v>91571</v>
      </c>
      <c r="G50" s="25" t="n">
        <f aca="false">$B$16</f>
        <v>91571</v>
      </c>
      <c r="H50" s="25"/>
      <c r="I50" s="25" t="n">
        <f aca="false">$B$16</f>
        <v>91571</v>
      </c>
      <c r="J50" s="25" t="n">
        <f aca="false">$B$16</f>
        <v>91571</v>
      </c>
      <c r="K50" s="25" t="n">
        <f aca="false">$B$16</f>
        <v>91571</v>
      </c>
      <c r="L50" s="25" t="n">
        <f aca="false">$B$16</f>
        <v>91571</v>
      </c>
      <c r="M50" s="25" t="n">
        <f aca="false">$B$16</f>
        <v>91571</v>
      </c>
    </row>
    <row r="51" customFormat="false" ht="15" hidden="false" customHeight="true" outlineLevel="0" collapsed="false">
      <c r="A51" s="16" t="s">
        <v>104</v>
      </c>
      <c r="C51" s="101" t="n">
        <f aca="false">IF(C50=0,"",C49/C50)</f>
        <v>21.367808751679</v>
      </c>
      <c r="D51" s="101" t="n">
        <f aca="false">IF(D50=0,"",D49/D50)</f>
        <v>21.8678198913925</v>
      </c>
      <c r="E51" s="101" t="n">
        <f aca="false">IF(E50=0,"",E49/E50)</f>
        <v>24.0928433392337</v>
      </c>
      <c r="F51" s="101" t="n">
        <f aca="false">IF(F50=0,"",F49/F50)</f>
        <v>24.7628957479965</v>
      </c>
      <c r="G51" s="101" t="n">
        <f aca="false">IF(G50=0,"",G49/G50)</f>
        <v>26.8342344056543</v>
      </c>
      <c r="H51" s="101"/>
      <c r="I51" s="101" t="n">
        <f aca="false">IF(I50=0,"",I49/I50)</f>
        <v>27.8250063290022</v>
      </c>
      <c r="J51" s="101" t="n">
        <f aca="false">IF(J50=0,"",J49/J50)</f>
        <v>28.7722364336134</v>
      </c>
      <c r="K51" s="101" t="n">
        <f aca="false">IF(K50=0,"",K49/K50)</f>
        <v>29.7526195918861</v>
      </c>
      <c r="L51" s="101" t="n">
        <f aca="false">IF(L50=0,"",L49/L50)</f>
        <v>30.6223595080108</v>
      </c>
      <c r="M51" s="101" t="n">
        <f aca="false">IF(M50=0,"",M49/M50)</f>
        <v>31.5181916216193</v>
      </c>
    </row>
    <row r="52" customFormat="false" ht="15" hidden="false" customHeight="true" outlineLevel="0" collapsed="false">
      <c r="A52" s="14" t="s">
        <v>110</v>
      </c>
      <c r="C52" s="42" t="n">
        <f aca="false">IF($B$16=0,"",C38/$B$16)</f>
        <v>0.976902431970733</v>
      </c>
      <c r="D52" s="42" t="n">
        <f aca="false">IF($B$16=0,"",D38/$B$16)</f>
        <v>0.968801786056743</v>
      </c>
      <c r="E52" s="42" t="n">
        <f aca="false">IF($B$16=0,"",E38/$B$16)</f>
        <v>1.01045651293643</v>
      </c>
      <c r="F52" s="42" t="n">
        <f aca="false">IF($B$16=0,"",F38/$B$16)</f>
        <v>1.05837145715941</v>
      </c>
      <c r="G52" s="42" t="n">
        <f aca="false">IF($B$16=0,"",G38/$B$16)</f>
        <v>1.13089645707615</v>
      </c>
      <c r="H52" s="42"/>
      <c r="I52" s="42" t="n">
        <f aca="false">IF($B$16=0,"",I38/$B$16)</f>
        <v>1.15077100790005</v>
      </c>
      <c r="J52" s="42" t="n">
        <f aca="false">IF($B$16=0,"",J38/$B$16)</f>
        <v>1.17403915653613</v>
      </c>
      <c r="K52" s="42" t="n">
        <f aca="false">IF($B$16=0,"",K38/$B$16)</f>
        <v>1.19840364350374</v>
      </c>
      <c r="L52" s="42" t="n">
        <f aca="false">IF($B$16=0,"",L38/$B$16)</f>
        <v>1.22716507279006</v>
      </c>
      <c r="M52" s="42" t="n">
        <f aca="false">IF($B$16=0,"",M38/$B$16)</f>
        <v>1.25678934495498</v>
      </c>
    </row>
    <row r="53" customFormat="false" ht="15" hidden="false" customHeight="true" outlineLevel="0" collapsed="false">
      <c r="A53" s="11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customFormat="false" ht="15" hidden="false" customHeight="true" outlineLevel="0" collapsed="false">
      <c r="A54" s="31" t="s">
        <v>705</v>
      </c>
      <c r="B54" s="6"/>
      <c r="C54" s="102"/>
      <c r="D54" s="102"/>
      <c r="E54" s="102"/>
      <c r="F54" s="102"/>
      <c r="G54" s="102"/>
      <c r="H54" s="6"/>
      <c r="I54" s="102"/>
      <c r="J54" s="102"/>
      <c r="K54" s="102"/>
      <c r="L54" s="102"/>
      <c r="M54" s="102"/>
    </row>
    <row r="55" customFormat="false" ht="15" hidden="false" customHeight="true" outlineLevel="0" collapsed="false">
      <c r="A55" s="14" t="s">
        <v>706</v>
      </c>
      <c r="C55" s="42" t="n">
        <f aca="false">C51</f>
        <v>21.367808751679</v>
      </c>
      <c r="D55" s="42" t="n">
        <f aca="false">D51</f>
        <v>21.8678198913925</v>
      </c>
      <c r="E55" s="42" t="n">
        <f aca="false">E51</f>
        <v>24.0928433392337</v>
      </c>
      <c r="F55" s="42" t="n">
        <f aca="false">F51</f>
        <v>24.7628957479965</v>
      </c>
      <c r="G55" s="42" t="n">
        <f aca="false">G51</f>
        <v>26.8342344056543</v>
      </c>
      <c r="H55" s="42"/>
      <c r="I55" s="42" t="n">
        <f aca="false">I51</f>
        <v>27.8250063290022</v>
      </c>
      <c r="J55" s="42" t="n">
        <f aca="false">J51</f>
        <v>28.7722364336134</v>
      </c>
      <c r="K55" s="42" t="n">
        <f aca="false">K51</f>
        <v>29.7526195918861</v>
      </c>
      <c r="L55" s="42" t="n">
        <f aca="false">L51</f>
        <v>30.6223595080108</v>
      </c>
      <c r="M55" s="42" t="n">
        <f aca="false">M51</f>
        <v>31.5181916216193</v>
      </c>
    </row>
    <row r="56" customFormat="false" ht="15" hidden="false" customHeight="true" outlineLevel="0" collapsed="false">
      <c r="A56" s="14" t="s">
        <v>707</v>
      </c>
      <c r="C56" s="33" t="n">
        <f aca="false">BS!C37</f>
        <v>19.8174514253976</v>
      </c>
      <c r="D56" s="33" t="n">
        <f aca="false">BS!D37</f>
        <v>18.7228782686549</v>
      </c>
      <c r="E56" s="33" t="n">
        <f aca="false">BS!E37</f>
        <v>19.8532285152293</v>
      </c>
      <c r="F56" s="33" t="n">
        <f aca="false">BS!F37</f>
        <v>20.0709732205863</v>
      </c>
      <c r="G56" s="33" t="n">
        <f aca="false">BS!G37</f>
        <v>20.4071867794005</v>
      </c>
      <c r="I56" s="33" t="n">
        <f aca="false">Assumptions!B67</f>
        <v>24.6659245764172</v>
      </c>
      <c r="J56" s="33" t="n">
        <f aca="false">Assumptions!C67</f>
        <v>24.7963027566487</v>
      </c>
      <c r="K56" s="33" t="n">
        <f aca="false">Assumptions!D67</f>
        <v>24.9703072191956</v>
      </c>
      <c r="L56" s="33" t="n">
        <f aca="false">Assumptions!E67</f>
        <v>25.0517211022643</v>
      </c>
      <c r="M56" s="33" t="n">
        <f aca="false">Assumptions!F67</f>
        <v>25.1946160364128</v>
      </c>
    </row>
    <row r="57" customFormat="false" ht="15" hidden="false" customHeight="true" outlineLevel="0" collapsed="false">
      <c r="A57" s="16" t="s">
        <v>106</v>
      </c>
      <c r="C57" s="103" t="n">
        <f aca="false">C55-C56</f>
        <v>1.55035732628138</v>
      </c>
      <c r="D57" s="103" t="n">
        <f aca="false">D55-D56</f>
        <v>3.14494162273766</v>
      </c>
      <c r="E57" s="103" t="n">
        <f aca="false">E55-E56</f>
        <v>4.23961482400432</v>
      </c>
      <c r="F57" s="103" t="n">
        <f aca="false">F55-F56</f>
        <v>4.69192252741021</v>
      </c>
      <c r="G57" s="103" t="n">
        <f aca="false">G55-G56</f>
        <v>6.42704762625387</v>
      </c>
      <c r="H57" s="103"/>
      <c r="I57" s="103" t="n">
        <f aca="false">I55-I56</f>
        <v>3.15908175258497</v>
      </c>
      <c r="J57" s="103" t="n">
        <f aca="false">J55-J56</f>
        <v>3.97593367696476</v>
      </c>
      <c r="K57" s="103" t="n">
        <f aca="false">K55-K56</f>
        <v>4.78231237269048</v>
      </c>
      <c r="L57" s="103" t="n">
        <f aca="false">L55-L56</f>
        <v>5.57063840574655</v>
      </c>
      <c r="M57" s="103" t="n">
        <f aca="false">M55-M56</f>
        <v>6.3235755852065</v>
      </c>
    </row>
    <row r="58" customFormat="false" ht="15" hidden="false" customHeight="true" outlineLevel="0" collapsed="false">
      <c r="A58" s="14" t="s">
        <v>708</v>
      </c>
      <c r="C58" s="42" t="n">
        <f aca="false">C52</f>
        <v>0.976902431970733</v>
      </c>
      <c r="D58" s="42" t="n">
        <f aca="false">D52</f>
        <v>0.968801786056743</v>
      </c>
      <c r="E58" s="42" t="n">
        <f aca="false">E52</f>
        <v>1.01045651293643</v>
      </c>
      <c r="F58" s="42" t="n">
        <f aca="false">F52</f>
        <v>1.05837145715941</v>
      </c>
      <c r="G58" s="42" t="n">
        <f aca="false">G52</f>
        <v>1.13089645707615</v>
      </c>
      <c r="H58" s="42"/>
      <c r="I58" s="42" t="n">
        <f aca="false">I52</f>
        <v>1.15077100790005</v>
      </c>
      <c r="J58" s="42" t="n">
        <f aca="false">J52</f>
        <v>1.17403915653613</v>
      </c>
      <c r="K58" s="42" t="n">
        <f aca="false">K52</f>
        <v>1.19840364350374</v>
      </c>
      <c r="L58" s="42" t="n">
        <f aca="false">L52</f>
        <v>1.22716507279006</v>
      </c>
      <c r="M58" s="42" t="n">
        <f aca="false">M52</f>
        <v>1.25678934495498</v>
      </c>
    </row>
    <row r="59" customFormat="false" ht="15" hidden="false" customHeight="true" outlineLevel="0" collapsed="false">
      <c r="A59" s="14" t="s">
        <v>709</v>
      </c>
      <c r="C59" s="33" t="n">
        <f aca="false">IS!C127</f>
        <v>0.0730665049524965</v>
      </c>
      <c r="D59" s="33" t="n">
        <f aca="false">IS!D127</f>
        <v>0.0303956316867183</v>
      </c>
      <c r="E59" s="33" t="n">
        <f aca="false">IS!E127</f>
        <v>0.0699064301582798</v>
      </c>
      <c r="F59" s="33" t="n">
        <f aca="false">IS!F127</f>
        <v>0.10630211189923</v>
      </c>
      <c r="G59" s="33" t="n">
        <f aca="false">IS!G127</f>
        <v>-0.054802913127221</v>
      </c>
    </row>
    <row r="60" customFormat="false" ht="15" hidden="false" customHeight="true" outlineLevel="0" collapsed="false">
      <c r="A60" s="11"/>
      <c r="B60" s="13"/>
    </row>
    <row r="61" customFormat="false" ht="15" hidden="false" customHeight="true" outlineLevel="0" collapsed="false">
      <c r="A61" s="16" t="s">
        <v>710</v>
      </c>
      <c r="B61" s="9"/>
    </row>
    <row r="62" customFormat="false" ht="15" hidden="false" customHeight="true" outlineLevel="0" collapsed="false">
      <c r="A62" s="14" t="s">
        <v>711</v>
      </c>
      <c r="B62" s="13"/>
      <c r="C62" s="42" t="n">
        <f aca="false">B17</f>
        <v>20.6704742767907</v>
      </c>
      <c r="D62" s="42" t="n">
        <f aca="false">C51</f>
        <v>21.367808751679</v>
      </c>
      <c r="E62" s="42" t="n">
        <f aca="false">D51</f>
        <v>21.8678198913925</v>
      </c>
      <c r="F62" s="42" t="n">
        <f aca="false">E51</f>
        <v>24.0928433392337</v>
      </c>
      <c r="G62" s="42" t="n">
        <f aca="false">F51</f>
        <v>24.7628957479965</v>
      </c>
      <c r="I62" s="42" t="n">
        <f aca="false">G51</f>
        <v>26.8342344056543</v>
      </c>
      <c r="J62" s="42" t="n">
        <f aca="false">I51</f>
        <v>27.8250063290022</v>
      </c>
      <c r="K62" s="42" t="n">
        <f aca="false">J51</f>
        <v>28.7722364336134</v>
      </c>
      <c r="L62" s="42" t="n">
        <f aca="false">K51</f>
        <v>29.7526195918861</v>
      </c>
      <c r="M62" s="42" t="n">
        <f aca="false">L51</f>
        <v>30.6223595080108</v>
      </c>
    </row>
    <row r="63" customFormat="false" ht="15" hidden="false" customHeight="true" outlineLevel="0" collapsed="false">
      <c r="A63" s="14" t="s">
        <v>712</v>
      </c>
      <c r="C63" s="42" t="n">
        <f aca="false">C51</f>
        <v>21.367808751679</v>
      </c>
      <c r="D63" s="42" t="n">
        <f aca="false">D51</f>
        <v>21.8678198913925</v>
      </c>
      <c r="E63" s="42" t="n">
        <f aca="false">E51</f>
        <v>24.0928433392337</v>
      </c>
      <c r="F63" s="42" t="n">
        <f aca="false">F51</f>
        <v>24.7628957479965</v>
      </c>
      <c r="G63" s="42" t="n">
        <f aca="false">G51</f>
        <v>26.8342344056543</v>
      </c>
      <c r="H63" s="42"/>
      <c r="I63" s="42" t="n">
        <f aca="false">I51</f>
        <v>27.8250063290022</v>
      </c>
      <c r="J63" s="42" t="n">
        <f aca="false">J51</f>
        <v>28.7722364336134</v>
      </c>
      <c r="K63" s="42" t="n">
        <f aca="false">K51</f>
        <v>29.7526195918861</v>
      </c>
      <c r="L63" s="42" t="n">
        <f aca="false">L51</f>
        <v>30.6223595080108</v>
      </c>
      <c r="M63" s="42" t="n">
        <f aca="false">M51</f>
        <v>31.5181916216193</v>
      </c>
    </row>
    <row r="64" customFormat="false" ht="15" hidden="false" customHeight="true" outlineLevel="0" collapsed="false">
      <c r="A64" s="14" t="s">
        <v>713</v>
      </c>
      <c r="B64" s="13"/>
      <c r="C64" s="42" t="n">
        <f aca="false">$B$23</f>
        <v>0.96</v>
      </c>
      <c r="D64" s="42" t="n">
        <f aca="false">$B$23</f>
        <v>0.96</v>
      </c>
      <c r="E64" s="42" t="n">
        <f aca="false">$B$23</f>
        <v>0.96</v>
      </c>
      <c r="F64" s="42" t="n">
        <f aca="false">$B$23</f>
        <v>0.96</v>
      </c>
      <c r="G64" s="42" t="n">
        <f aca="false">$B$23</f>
        <v>0.96</v>
      </c>
      <c r="H64" s="42"/>
      <c r="I64" s="42" t="n">
        <f aca="false">$B$23</f>
        <v>0.96</v>
      </c>
      <c r="J64" s="42" t="n">
        <f aca="false">$B$23</f>
        <v>0.96</v>
      </c>
      <c r="K64" s="42" t="n">
        <f aca="false">$B$23</f>
        <v>0.96</v>
      </c>
      <c r="L64" s="42" t="n">
        <f aca="false">$B$23</f>
        <v>0.96</v>
      </c>
      <c r="M64" s="42" t="n">
        <f aca="false">$B$23</f>
        <v>0.96</v>
      </c>
    </row>
    <row r="65" customFormat="false" ht="15" hidden="false" customHeight="true" outlineLevel="0" collapsed="false">
      <c r="A65" s="16" t="s">
        <v>107</v>
      </c>
      <c r="B65" s="9"/>
      <c r="C65" s="104" t="n">
        <f aca="false">IF(C62=0,"",(C63-C62+C64)/C62)</f>
        <v>0.0801788315398855</v>
      </c>
      <c r="D65" s="104" t="n">
        <f aca="false">IF(D62=0,"",(D63-D62+D64)/D62)</f>
        <v>0.0683276023611351</v>
      </c>
      <c r="E65" s="104" t="n">
        <f aca="false">IF(E62=0,"",(E63-E62+E64)/E62)</f>
        <v>0.145648878747844</v>
      </c>
      <c r="F65" s="104" t="n">
        <f aca="false">IF(F62=0,"",(F63-F62+F64)/F62)</f>
        <v>0.0676571206565899</v>
      </c>
      <c r="G65" s="104" t="n">
        <f aca="false">IF(G62=0,"",(G63-G62+G64)/G62)</f>
        <v>0.122414546687379</v>
      </c>
      <c r="H65" s="104"/>
      <c r="I65" s="104" t="n">
        <f aca="false">IF(I62=0,"",(I63-I62+I64)/I62)</f>
        <v>0.0726971335890546</v>
      </c>
      <c r="J65" s="104" t="n">
        <f aca="false">IF(J62=0,"",(J63-J62+J64)/J62)</f>
        <v>0.0685437437842856</v>
      </c>
      <c r="K65" s="104" t="n">
        <f aca="false">IF(K62=0,"",(K63-K62+K64)/K62)</f>
        <v>0.0674394276840354</v>
      </c>
      <c r="L65" s="104" t="n">
        <f aca="false">IF(L62=0,"",(L63-L62+L64)/L62)</f>
        <v>0.0614984475727887</v>
      </c>
      <c r="M65" s="104" t="n">
        <f aca="false">IF(M62=0,"",(M63-M62+M64)/M62)</f>
        <v>0.0606038248986984</v>
      </c>
    </row>
    <row r="66" customFormat="false" ht="15" hidden="false" customHeight="true" outlineLevel="0" collapsed="false">
      <c r="A66" s="14" t="s">
        <v>108</v>
      </c>
      <c r="B66" s="13"/>
      <c r="C66" s="28" t="n">
        <f aca="false">'Return Profile'!C31</f>
        <v>-0.00159758556822866</v>
      </c>
      <c r="D66" s="28" t="n">
        <f aca="false">'Return Profile'!D31</f>
        <v>-0.0138551194524885</v>
      </c>
      <c r="E66" s="28" t="n">
        <f aca="false">'Return Profile'!E31</f>
        <v>0.105237571825329</v>
      </c>
      <c r="F66" s="28" t="n">
        <f aca="false">'Return Profile'!F31</f>
        <v>0.0537819178647895</v>
      </c>
      <c r="G66" s="28" t="n">
        <f aca="false">'Return Profile'!G31</f>
        <v>0.0645815000881306</v>
      </c>
      <c r="I66" s="28" t="n">
        <f aca="false">Assumptions!B74</f>
        <v>0.0232295745476414</v>
      </c>
      <c r="J66" s="28" t="n">
        <f aca="false">Assumptions!C74</f>
        <v>0.0181617275413608</v>
      </c>
      <c r="K66" s="28" t="n">
        <f aca="false">Assumptions!D74</f>
        <v>0.0149402887678239</v>
      </c>
      <c r="L66" s="28" t="n">
        <f aca="false">Assumptions!E74</f>
        <v>0.00811568721838653</v>
      </c>
      <c r="M66" s="28" t="n">
        <f aca="false">Assumptions!F74</f>
        <v>0.00383592299657997</v>
      </c>
    </row>
    <row r="67" customFormat="false" ht="15" hidden="false" customHeight="true" outlineLevel="0" collapsed="false">
      <c r="A67" s="16" t="s">
        <v>714</v>
      </c>
      <c r="C67" s="19" t="n">
        <f aca="false">C65-C66</f>
        <v>0.0817764171081141</v>
      </c>
      <c r="D67" s="19" t="n">
        <f aca="false">D65-D66</f>
        <v>0.0821827218136236</v>
      </c>
      <c r="E67" s="19" t="n">
        <f aca="false">E65-E66</f>
        <v>0.0404113069225149</v>
      </c>
      <c r="F67" s="19" t="n">
        <f aca="false">F65-F66</f>
        <v>0.0138752027918004</v>
      </c>
      <c r="G67" s="19" t="n">
        <f aca="false">G65-G66</f>
        <v>0.0578330465992484</v>
      </c>
      <c r="H67" s="19"/>
      <c r="I67" s="19" t="n">
        <f aca="false">I65-I66</f>
        <v>0.0494675590414132</v>
      </c>
      <c r="J67" s="19" t="n">
        <f aca="false">J65-J66</f>
        <v>0.0503820162429248</v>
      </c>
      <c r="K67" s="19" t="n">
        <f aca="false">K65-K66</f>
        <v>0.0524991389162115</v>
      </c>
      <c r="L67" s="19" t="n">
        <f aca="false">L65-L66</f>
        <v>0.0533827603544022</v>
      </c>
      <c r="M67" s="19" t="n">
        <f aca="false">M65-M66</f>
        <v>0.0567679019021184</v>
      </c>
    </row>
    <row r="69" customFormat="false" ht="15" hidden="false" customHeight="true" outlineLevel="0" collapsed="false">
      <c r="A69" s="14" t="s">
        <v>715</v>
      </c>
      <c r="C69" s="105" t="n">
        <f aca="false">1+C65</f>
        <v>1.08017883153989</v>
      </c>
      <c r="D69" s="105" t="n">
        <f aca="false">C69*(1+D65)</f>
        <v>1.15398486122026</v>
      </c>
      <c r="E69" s="105" t="n">
        <f aca="false">D69*(1+E65)</f>
        <v>1.32206146234898</v>
      </c>
      <c r="F69" s="105" t="n">
        <f aca="false">E69*(1+F65)</f>
        <v>1.41150833422255</v>
      </c>
      <c r="G69" s="105" t="n">
        <f aca="false">F69*(1+G65)</f>
        <v>1.58429748710186</v>
      </c>
      <c r="I69" s="105" t="n">
        <f aca="false">G69*(1+I65)</f>
        <v>1.69947137316651</v>
      </c>
      <c r="J69" s="105" t="n">
        <f aca="false">I69*(1+J65)</f>
        <v>1.81595950353756</v>
      </c>
      <c r="K69" s="105" t="n">
        <f aca="false">J69*(1+K65)</f>
        <v>1.93842677315352</v>
      </c>
      <c r="L69" s="105" t="n">
        <f aca="false">K69*(1+L65)</f>
        <v>2.05763701043599</v>
      </c>
      <c r="M69" s="105" t="n">
        <f aca="false">L69*(1+M65)</f>
        <v>2.18233768352153</v>
      </c>
    </row>
    <row r="70" customFormat="false" ht="15" hidden="false" customHeight="true" outlineLevel="0" collapsed="false">
      <c r="A70" s="14" t="s">
        <v>716</v>
      </c>
      <c r="C70" s="106" t="n">
        <f aca="false">'Return Profile'!C35</f>
        <v>0.998402414431771</v>
      </c>
      <c r="D70" s="106" t="n">
        <f aca="false">'Return Profile'!D35</f>
        <v>0.984569429718166</v>
      </c>
      <c r="E70" s="106" t="n">
        <f aca="false">'Return Profile'!E35</f>
        <v>1.08818312579516</v>
      </c>
      <c r="F70" s="106" t="n">
        <f aca="false">'Return Profile'!F35</f>
        <v>1.14670770128852</v>
      </c>
      <c r="G70" s="106" t="n">
        <f aca="false">'Return Profile'!G35</f>
        <v>1.22076380480034</v>
      </c>
    </row>
    <row r="72" customFormat="false" ht="15" hidden="false" customHeight="true" outlineLevel="0" collapsed="false">
      <c r="A72" s="16" t="s">
        <v>114</v>
      </c>
      <c r="B72" s="104" t="n">
        <f aca="false">IF(G69=0,"",G69^(1/5)-1)</f>
        <v>0.0963957582646438</v>
      </c>
    </row>
    <row r="73" customFormat="false" ht="15" hidden="false" customHeight="true" outlineLevel="0" collapsed="false">
      <c r="A73" s="14" t="s">
        <v>115</v>
      </c>
      <c r="B73" s="28" t="n">
        <f aca="false">'Return Profile'!G36</f>
        <v>0.0511335813328608</v>
      </c>
    </row>
    <row r="74" customFormat="false" ht="15" hidden="false" customHeight="true" outlineLevel="0" collapsed="false">
      <c r="A74" s="16" t="s">
        <v>717</v>
      </c>
      <c r="B74" s="19" t="n">
        <f aca="false">B72-B73</f>
        <v>0.0452621769317829</v>
      </c>
    </row>
    <row r="76" customFormat="false" ht="15" hidden="false" customHeight="true" outlineLevel="0" collapsed="false">
      <c r="A76" s="16" t="s">
        <v>117</v>
      </c>
      <c r="B76" s="104" t="n">
        <f aca="false">IF(M69=0,"",(M69/G69)^(1/5)-1)</f>
        <v>0.0661468883245489</v>
      </c>
    </row>
    <row r="77" customFormat="false" ht="15" hidden="false" customHeight="true" outlineLevel="0" collapsed="false">
      <c r="A77" s="14" t="s">
        <v>718</v>
      </c>
      <c r="B77" s="28" t="n">
        <f aca="false">'Return Profile'!B114</f>
        <v>0.0212085869262406</v>
      </c>
    </row>
    <row r="78" customFormat="false" ht="15" hidden="false" customHeight="true" outlineLevel="0" collapsed="false">
      <c r="A78" s="16" t="s">
        <v>719</v>
      </c>
      <c r="B78" s="19" t="n">
        <f aca="false">B76-B77</f>
        <v>0.0449383013983082</v>
      </c>
    </row>
    <row r="80" customFormat="false" ht="15" hidden="false" customHeight="true" outlineLevel="0" collapsed="false">
      <c r="A80" s="31" t="s">
        <v>720</v>
      </c>
      <c r="B80" s="6"/>
      <c r="C80" s="6"/>
      <c r="D80" s="6"/>
      <c r="E80" s="6"/>
      <c r="F80" s="6"/>
    </row>
    <row r="81" customFormat="false" ht="15" hidden="false" customHeight="true" outlineLevel="0" collapsed="false">
      <c r="A81" s="32" t="s">
        <v>721</v>
      </c>
    </row>
    <row r="82" customFormat="false" ht="15" hidden="false" customHeight="true" outlineLevel="0" collapsed="false">
      <c r="A82" s="32" t="s">
        <v>722</v>
      </c>
    </row>
    <row r="84" customFormat="false" ht="15" hidden="false" customHeight="true" outlineLevel="0" collapsed="false">
      <c r="A84" s="16" t="s">
        <v>723</v>
      </c>
    </row>
    <row r="85" customFormat="false" ht="15" hidden="false" customHeight="true" outlineLevel="0" collapsed="false">
      <c r="A85" s="14" t="s">
        <v>724</v>
      </c>
      <c r="B85" s="33" t="n">
        <f aca="false">BS!H38</f>
        <v>24.36</v>
      </c>
    </row>
    <row r="86" customFormat="false" ht="15" hidden="false" customHeight="true" outlineLevel="0" collapsed="false">
      <c r="A86" s="14" t="s">
        <v>725</v>
      </c>
      <c r="B86" s="33" t="n">
        <f aca="false">BS!H37</f>
        <v>20.0952655477042</v>
      </c>
    </row>
    <row r="87" customFormat="false" ht="15" hidden="false" customHeight="true" outlineLevel="0" collapsed="false">
      <c r="A87" s="14" t="s">
        <v>14</v>
      </c>
      <c r="B87" s="18" t="n">
        <f aca="false">B85/B86-1</f>
        <v>0.212225832108155</v>
      </c>
    </row>
    <row r="88" customFormat="false" ht="15" hidden="false" customHeight="true" outlineLevel="0" collapsed="false">
      <c r="A88" s="14" t="s">
        <v>726</v>
      </c>
      <c r="B88" s="15" t="n">
        <f aca="false">IS!H150</f>
        <v>182133</v>
      </c>
    </row>
    <row r="89" customFormat="false" ht="15" hidden="false" customHeight="true" outlineLevel="0" collapsed="false">
      <c r="A89" s="14" t="s">
        <v>727</v>
      </c>
      <c r="B89" s="15" t="n">
        <f aca="false">BS!H31</f>
        <v>3660011</v>
      </c>
    </row>
    <row r="91" customFormat="false" ht="15" hidden="false" customHeight="true" outlineLevel="0" collapsed="false">
      <c r="A91" s="16" t="s">
        <v>728</v>
      </c>
    </row>
    <row r="92" customFormat="false" ht="15" hidden="false" customHeight="true" outlineLevel="0" collapsed="false">
      <c r="A92" s="14" t="s">
        <v>729</v>
      </c>
      <c r="B92" s="107" t="n">
        <v>500000</v>
      </c>
    </row>
    <row r="93" customFormat="false" ht="15" hidden="false" customHeight="true" outlineLevel="0" collapsed="false">
      <c r="A93" s="14" t="s">
        <v>730</v>
      </c>
      <c r="B93" s="42" t="n">
        <f aca="false">B85</f>
        <v>24.36</v>
      </c>
    </row>
    <row r="94" customFormat="false" ht="15" hidden="false" customHeight="true" outlineLevel="0" collapsed="false">
      <c r="A94" s="14" t="s">
        <v>132</v>
      </c>
      <c r="B94" s="25" t="n">
        <f aca="false">B92/B93</f>
        <v>20525.4515599343</v>
      </c>
    </row>
    <row r="95" customFormat="false" ht="15" hidden="false" customHeight="true" outlineLevel="0" collapsed="false">
      <c r="A95" s="14" t="s">
        <v>731</v>
      </c>
      <c r="B95" s="108" t="n">
        <v>0.048</v>
      </c>
    </row>
    <row r="96" customFormat="false" ht="15" hidden="false" customHeight="true" outlineLevel="0" collapsed="false">
      <c r="A96" s="14" t="s">
        <v>732</v>
      </c>
      <c r="B96" s="99" t="n">
        <v>0.55</v>
      </c>
    </row>
    <row r="97" customFormat="false" ht="15" hidden="false" customHeight="true" outlineLevel="0" collapsed="false">
      <c r="A97" s="14" t="s">
        <v>733</v>
      </c>
      <c r="B97" s="108" t="n">
        <v>0.035</v>
      </c>
    </row>
    <row r="99" customFormat="false" ht="15" hidden="false" customHeight="true" outlineLevel="0" collapsed="false">
      <c r="A99" s="16" t="s">
        <v>734</v>
      </c>
    </row>
    <row r="100" customFormat="false" ht="15" hidden="false" customHeight="true" outlineLevel="0" collapsed="false">
      <c r="A100" s="14" t="s">
        <v>735</v>
      </c>
      <c r="B100" s="25" t="n">
        <f aca="false">B92/(1-B96)</f>
        <v>1111111.11111111</v>
      </c>
    </row>
    <row r="101" customFormat="false" ht="15" hidden="false" customHeight="true" outlineLevel="0" collapsed="false">
      <c r="A101" s="14" t="s">
        <v>736</v>
      </c>
      <c r="B101" s="25" t="n">
        <f aca="false">B100*B96</f>
        <v>611111.111111111</v>
      </c>
    </row>
    <row r="102" customFormat="false" ht="15" hidden="false" customHeight="true" outlineLevel="0" collapsed="false">
      <c r="A102" s="14" t="s">
        <v>134</v>
      </c>
      <c r="B102" s="25" t="n">
        <f aca="false">B100*B95</f>
        <v>53333.3333333333</v>
      </c>
    </row>
    <row r="103" customFormat="false" ht="15" hidden="false" customHeight="true" outlineLevel="0" collapsed="false">
      <c r="A103" s="14" t="s">
        <v>737</v>
      </c>
      <c r="B103" s="25" t="n">
        <f aca="false">-B101*B97</f>
        <v>-21388.8888888889</v>
      </c>
    </row>
    <row r="104" customFormat="false" ht="15" hidden="false" customHeight="true" outlineLevel="0" collapsed="false">
      <c r="A104" s="14" t="s">
        <v>738</v>
      </c>
      <c r="B104" s="41" t="n">
        <f aca="false">B102+B103</f>
        <v>31944.4444444445</v>
      </c>
    </row>
    <row r="106" customFormat="false" ht="15" hidden="false" customHeight="true" outlineLevel="0" collapsed="false">
      <c r="A106" s="16" t="s">
        <v>739</v>
      </c>
    </row>
    <row r="107" customFormat="false" ht="15" hidden="false" customHeight="true" outlineLevel="0" collapsed="false">
      <c r="A107" s="14" t="s">
        <v>740</v>
      </c>
      <c r="B107" s="34" t="n">
        <f aca="false">BS!H42</f>
        <v>0.0436</v>
      </c>
    </row>
    <row r="108" customFormat="false" ht="15" hidden="false" customHeight="true" outlineLevel="0" collapsed="false">
      <c r="A108" s="14" t="s">
        <v>741</v>
      </c>
      <c r="B108" s="25" t="n">
        <f aca="false">B102/B107</f>
        <v>1223241.59021407</v>
      </c>
    </row>
    <row r="109" customFormat="false" ht="15" hidden="false" customHeight="true" outlineLevel="0" collapsed="false">
      <c r="A109" s="14" t="s">
        <v>742</v>
      </c>
      <c r="B109" s="41" t="n">
        <f aca="false">B108-B100</f>
        <v>112130.479102956</v>
      </c>
    </row>
    <row r="110" customFormat="false" ht="15" hidden="false" customHeight="true" outlineLevel="0" collapsed="false">
      <c r="A110" s="32" t="s">
        <v>743</v>
      </c>
    </row>
    <row r="112" customFormat="false" ht="15" hidden="false" customHeight="true" outlineLevel="0" collapsed="false">
      <c r="A112" s="16" t="s">
        <v>744</v>
      </c>
    </row>
    <row r="113" customFormat="false" ht="15" hidden="false" customHeight="true" outlineLevel="0" collapsed="false">
      <c r="A113" s="14" t="s">
        <v>745</v>
      </c>
      <c r="B113" s="25" t="n">
        <f aca="false">B89</f>
        <v>3660011</v>
      </c>
    </row>
    <row r="114" customFormat="false" ht="15" hidden="false" customHeight="true" outlineLevel="0" collapsed="false">
      <c r="A114" s="14" t="s">
        <v>746</v>
      </c>
      <c r="B114" s="25" t="n">
        <f aca="false">B92</f>
        <v>500000</v>
      </c>
    </row>
    <row r="115" customFormat="false" ht="15" hidden="false" customHeight="true" outlineLevel="0" collapsed="false">
      <c r="A115" s="14" t="s">
        <v>747</v>
      </c>
      <c r="B115" s="25" t="n">
        <f aca="false">B109</f>
        <v>112130.479102956</v>
      </c>
    </row>
    <row r="116" customFormat="false" ht="15" hidden="false" customHeight="true" outlineLevel="0" collapsed="false">
      <c r="A116" s="16" t="s">
        <v>748</v>
      </c>
      <c r="B116" s="41" t="n">
        <f aca="false">B113+B114+B115</f>
        <v>4272141.47910296</v>
      </c>
    </row>
    <row r="117" customFormat="false" ht="15" hidden="false" customHeight="true" outlineLevel="0" collapsed="false">
      <c r="A117" s="14" t="s">
        <v>749</v>
      </c>
      <c r="B117" s="25" t="n">
        <f aca="false">B88+B94</f>
        <v>202658.451559934</v>
      </c>
    </row>
    <row r="118" customFormat="false" ht="15" hidden="false" customHeight="true" outlineLevel="0" collapsed="false">
      <c r="A118" s="16" t="s">
        <v>750</v>
      </c>
      <c r="B118" s="101" t="n">
        <f aca="false">IF(B117=0,"",B116/B117)</f>
        <v>21.0804999555595</v>
      </c>
    </row>
    <row r="119" customFormat="false" ht="15" hidden="false" customHeight="true" outlineLevel="0" collapsed="false">
      <c r="A119" s="14" t="s">
        <v>751</v>
      </c>
      <c r="B119" s="42" t="n">
        <f aca="false">B86</f>
        <v>20.0952655477042</v>
      </c>
    </row>
    <row r="121" customFormat="false" ht="15" hidden="false" customHeight="true" outlineLevel="0" collapsed="false">
      <c r="A121" s="16" t="s">
        <v>752</v>
      </c>
      <c r="B121" s="101" t="n">
        <f aca="false">B118-B86</f>
        <v>0.985234407855366</v>
      </c>
    </row>
    <row r="122" customFormat="false" ht="15" hidden="false" customHeight="true" outlineLevel="0" collapsed="false">
      <c r="A122" s="16" t="s">
        <v>753</v>
      </c>
      <c r="B122" s="104" t="n">
        <f aca="false">IF(B86=0,"",B121/B86)</f>
        <v>0.0490281855453225</v>
      </c>
    </row>
    <row r="124" customFormat="false" ht="15" hidden="false" customHeight="true" outlineLevel="0" collapsed="false">
      <c r="A124" s="16" t="s">
        <v>754</v>
      </c>
    </row>
    <row r="125" customFormat="false" ht="15" hidden="false" customHeight="true" outlineLevel="0" collapsed="false">
      <c r="A125" s="32" t="s">
        <v>755</v>
      </c>
    </row>
    <row r="126" customFormat="false" ht="15" hidden="false" customHeight="true" outlineLevel="0" collapsed="false">
      <c r="A126" s="32" t="s">
        <v>756</v>
      </c>
    </row>
    <row r="127" customFormat="false" ht="15" hidden="false" customHeight="true" outlineLevel="0" collapsed="false">
      <c r="A127" s="32" t="s">
        <v>757</v>
      </c>
    </row>
    <row r="129" customFormat="false" ht="15" hidden="false" customHeight="true" outlineLevel="0" collapsed="false">
      <c r="A129" s="16" t="s">
        <v>758</v>
      </c>
    </row>
    <row r="130" customFormat="false" ht="15" hidden="false" customHeight="true" outlineLevel="0" collapsed="false">
      <c r="A130" s="32" t="s">
        <v>759</v>
      </c>
    </row>
    <row r="131" customFormat="false" ht="15" hidden="false" customHeight="true" outlineLevel="0" collapsed="false">
      <c r="A131" s="32" t="s">
        <v>760</v>
      </c>
    </row>
    <row r="132" customFormat="false" ht="15" hidden="false" customHeight="true" outlineLevel="0" collapsed="false">
      <c r="A132" s="32" t="s">
        <v>761</v>
      </c>
    </row>
    <row r="133" customFormat="false" ht="15" hidden="false" customHeight="true" outlineLevel="0" collapsed="false">
      <c r="A133" s="14" t="s">
        <v>762</v>
      </c>
      <c r="B133" s="15" t="n">
        <f aca="false">ABS(Assumptions!B62)</f>
        <v>71693.9327717691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false" showRowColHeaders="true" showZeros="true" rightToLeft="false" tabSelected="false" showOutlineSymbols="true" defaultGridColor="true" view="normal" topLeftCell="A1" colorId="64" zoomScale="142" zoomScaleNormal="142" zoomScalePageLayoutView="100" workbookViewId="0">
      <selection pane="topLeft" activeCell="B37" activeCellId="0" sqref="B37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166</v>
      </c>
    </row>
    <row r="2" customFormat="false" ht="15" hidden="false" customHeight="true" outlineLevel="0" collapsed="false">
      <c r="A2" s="3" t="s">
        <v>167</v>
      </c>
    </row>
    <row r="3" customFormat="false" ht="15" hidden="false" customHeight="true" outlineLevel="0" collapsed="false">
      <c r="A3" s="3" t="s">
        <v>168</v>
      </c>
    </row>
    <row r="4" customFormat="false" ht="15" hidden="false" customHeight="true" outlineLevel="0" collapsed="false">
      <c r="B4" s="4" t="s">
        <v>169</v>
      </c>
      <c r="C4" s="4" t="s">
        <v>170</v>
      </c>
      <c r="D4" s="4" t="s">
        <v>171</v>
      </c>
      <c r="E4" s="4" t="s">
        <v>172</v>
      </c>
      <c r="F4" s="4" t="s">
        <v>173</v>
      </c>
      <c r="G4" s="4" t="s">
        <v>174</v>
      </c>
      <c r="H4" s="4" t="s">
        <v>175</v>
      </c>
    </row>
    <row r="6" customFormat="false" ht="15" hidden="false" customHeight="true" outlineLevel="0" collapsed="false">
      <c r="A6" s="5" t="s">
        <v>176</v>
      </c>
      <c r="B6" s="6"/>
      <c r="C6" s="6"/>
      <c r="D6" s="6"/>
      <c r="E6" s="6"/>
      <c r="F6" s="6"/>
      <c r="G6" s="6"/>
      <c r="H6" s="6"/>
    </row>
    <row r="7" customFormat="false" ht="15" hidden="false" customHeight="true" outlineLevel="0" collapsed="false">
      <c r="A7" s="7" t="s">
        <v>177</v>
      </c>
      <c r="B7" s="12" t="n">
        <f aca="false">H7/9*12</f>
        <v>234917.333333333</v>
      </c>
      <c r="C7" s="12" t="n">
        <f aca="false">B10</f>
        <v>243844.192</v>
      </c>
      <c r="D7" s="12" t="n">
        <f aca="false">C10</f>
        <v>252378.73872</v>
      </c>
      <c r="E7" s="12" t="n">
        <f aca="false">D10</f>
        <v>261211.9945752</v>
      </c>
      <c r="F7" s="12" t="n">
        <f aca="false">E10</f>
        <v>269048.354412456</v>
      </c>
      <c r="G7" s="10" t="n">
        <f aca="false">IS!G17</f>
        <v>227787</v>
      </c>
      <c r="H7" s="10" t="n">
        <f aca="false">IS!H17</f>
        <v>176188</v>
      </c>
    </row>
    <row r="8" customFormat="false" ht="15" hidden="false" customHeight="true" outlineLevel="0" collapsed="false">
      <c r="A8" s="7" t="s">
        <v>178</v>
      </c>
      <c r="B8" s="43" t="n">
        <v>0.038</v>
      </c>
      <c r="C8" s="43" t="n">
        <v>0.035</v>
      </c>
      <c r="D8" s="43" t="n">
        <v>0.035</v>
      </c>
      <c r="E8" s="43" t="n">
        <v>0.03</v>
      </c>
      <c r="F8" s="43" t="n">
        <v>0.03</v>
      </c>
      <c r="G8" s="9" t="n">
        <f aca="false">IS!G80</f>
        <v>0.0863</v>
      </c>
    </row>
    <row r="9" customFormat="false" ht="15" hidden="false" customHeight="true" outlineLevel="0" collapsed="false">
      <c r="A9" s="7" t="s">
        <v>179</v>
      </c>
      <c r="B9" s="43" t="n">
        <v>0</v>
      </c>
      <c r="C9" s="3" t="n">
        <v>0</v>
      </c>
      <c r="D9" s="3" t="n">
        <v>0</v>
      </c>
      <c r="E9" s="3" t="n">
        <v>0</v>
      </c>
      <c r="F9" s="3" t="n">
        <v>0</v>
      </c>
    </row>
    <row r="10" customFormat="false" ht="15" hidden="false" customHeight="true" outlineLevel="0" collapsed="false">
      <c r="A10" s="11" t="s">
        <v>180</v>
      </c>
      <c r="B10" s="21" t="n">
        <f aca="false">B7*(1+B8)+B9</f>
        <v>243844.192</v>
      </c>
      <c r="C10" s="21" t="n">
        <f aca="false">C7*(1+C8)+C9</f>
        <v>252378.73872</v>
      </c>
      <c r="D10" s="21" t="n">
        <f aca="false">D7*(1+D8)+D9</f>
        <v>261211.9945752</v>
      </c>
      <c r="E10" s="21" t="n">
        <f aca="false">E7*(1+E8)+E9</f>
        <v>269048.354412456</v>
      </c>
      <c r="F10" s="21" t="n">
        <f aca="false">F7*(1+F8)+F9</f>
        <v>277119.80504483</v>
      </c>
    </row>
    <row r="11" customFormat="false" ht="15" hidden="false" customHeight="true" outlineLevel="0" collapsed="false">
      <c r="A11" s="7" t="s">
        <v>181</v>
      </c>
      <c r="B11" s="43" t="n">
        <v>0.645</v>
      </c>
      <c r="C11" s="43" t="n">
        <v>0.65</v>
      </c>
      <c r="D11" s="43" t="n">
        <v>0.655</v>
      </c>
      <c r="E11" s="43" t="n">
        <v>0.66</v>
      </c>
      <c r="F11" s="43" t="n">
        <v>0.66</v>
      </c>
    </row>
    <row r="12" customFormat="false" ht="15" hidden="false" customHeight="true" outlineLevel="0" collapsed="false">
      <c r="A12" s="7" t="s">
        <v>182</v>
      </c>
      <c r="B12" s="12" t="n">
        <f aca="false">IF(B11=0,"",B10/B11)</f>
        <v>378053.010852713</v>
      </c>
      <c r="C12" s="12" t="n">
        <f aca="false">IF(C11=0,"",C10/C11)</f>
        <v>388274.982646154</v>
      </c>
      <c r="D12" s="12" t="n">
        <f aca="false">IF(D11=0,"",D10/D11)</f>
        <v>398796.938282748</v>
      </c>
      <c r="E12" s="12" t="n">
        <f aca="false">IF(E11=0,"",E10/E11)</f>
        <v>407649.021837055</v>
      </c>
      <c r="F12" s="12" t="n">
        <f aca="false">IF(F11=0,"",F10/F11)</f>
        <v>419878.492492166</v>
      </c>
    </row>
    <row r="14" customFormat="false" ht="15" hidden="false" customHeight="true" outlineLevel="0" collapsed="false">
      <c r="A14" s="5" t="s">
        <v>183</v>
      </c>
      <c r="B14" s="6"/>
      <c r="C14" s="6"/>
      <c r="D14" s="6"/>
      <c r="E14" s="6"/>
      <c r="F14" s="6"/>
      <c r="G14" s="6"/>
      <c r="H14" s="6"/>
    </row>
    <row r="15" customFormat="false" ht="15" hidden="false" customHeight="true" outlineLevel="0" collapsed="false">
      <c r="A15" s="7" t="s">
        <v>184</v>
      </c>
      <c r="B15" s="43" t="n">
        <v>0.105</v>
      </c>
      <c r="C15" s="43" t="n">
        <v>0.105</v>
      </c>
      <c r="D15" s="43" t="n">
        <v>0.105</v>
      </c>
      <c r="E15" s="43" t="n">
        <v>0.105</v>
      </c>
      <c r="F15" s="43" t="n">
        <v>0.105</v>
      </c>
    </row>
    <row r="16" customFormat="false" ht="15" hidden="false" customHeight="true" outlineLevel="0" collapsed="false">
      <c r="A16" s="7" t="s">
        <v>185</v>
      </c>
      <c r="B16" s="43" t="n">
        <v>0.009</v>
      </c>
      <c r="C16" s="43" t="n">
        <v>0.009</v>
      </c>
      <c r="D16" s="43" t="n">
        <v>0.009</v>
      </c>
      <c r="E16" s="43" t="n">
        <v>0.009</v>
      </c>
      <c r="F16" s="43" t="n">
        <v>0.009</v>
      </c>
    </row>
    <row r="17" customFormat="false" ht="15" hidden="false" customHeight="true" outlineLevel="0" collapsed="false">
      <c r="A17" s="7" t="s">
        <v>186</v>
      </c>
      <c r="B17" s="43" t="n">
        <v>0.04</v>
      </c>
      <c r="C17" s="43" t="n">
        <v>0.04</v>
      </c>
      <c r="D17" s="43" t="n">
        <v>0.04</v>
      </c>
      <c r="E17" s="43" t="n">
        <v>0.04</v>
      </c>
      <c r="F17" s="43" t="n">
        <v>0.04</v>
      </c>
    </row>
    <row r="18" customFormat="false" ht="15" hidden="false" customHeight="true" outlineLevel="0" collapsed="false">
      <c r="A18" s="7" t="s">
        <v>187</v>
      </c>
      <c r="B18" s="43" t="n">
        <v>0.15</v>
      </c>
      <c r="C18" s="43" t="n">
        <v>0.15</v>
      </c>
      <c r="D18" s="43" t="n">
        <v>0.15</v>
      </c>
      <c r="E18" s="43" t="n">
        <v>0.15</v>
      </c>
      <c r="F18" s="43" t="n">
        <v>0.15</v>
      </c>
    </row>
    <row r="20" customFormat="false" ht="15" hidden="false" customHeight="true" outlineLevel="0" collapsed="false">
      <c r="A20" s="5" t="s">
        <v>188</v>
      </c>
      <c r="B20" s="6"/>
      <c r="C20" s="6"/>
      <c r="D20" s="6"/>
      <c r="E20" s="6"/>
      <c r="F20" s="6"/>
      <c r="G20" s="6"/>
      <c r="H20" s="6"/>
    </row>
    <row r="21" customFormat="false" ht="15" hidden="false" customHeight="true" outlineLevel="0" collapsed="false">
      <c r="A21" s="7" t="s">
        <v>189</v>
      </c>
      <c r="B21" s="43" t="n">
        <v>0.034</v>
      </c>
      <c r="C21" s="43" t="n">
        <v>0.035</v>
      </c>
      <c r="D21" s="43" t="n">
        <v>0.036</v>
      </c>
      <c r="E21" s="43" t="n">
        <v>0.036</v>
      </c>
      <c r="F21" s="43" t="n">
        <v>0.036</v>
      </c>
      <c r="G21" s="23" t="n">
        <f aca="false">'Return Profile'!G22</f>
        <v>0.0324</v>
      </c>
      <c r="H21" s="23" t="n">
        <f aca="false">'Return Profile'!H22</f>
        <v>0.0314</v>
      </c>
    </row>
    <row r="22" customFormat="false" ht="15" hidden="false" customHeight="true" outlineLevel="0" collapsed="false">
      <c r="A22" s="7" t="s">
        <v>190</v>
      </c>
      <c r="B22" s="12" t="n">
        <f aca="false">H22</f>
        <v>3427428</v>
      </c>
      <c r="C22" s="12" t="n">
        <f aca="false">H22</f>
        <v>3427428</v>
      </c>
      <c r="D22" s="12" t="n">
        <f aca="false">H22</f>
        <v>3427428</v>
      </c>
      <c r="E22" s="12" t="n">
        <f aca="false">H22</f>
        <v>3427428</v>
      </c>
      <c r="F22" s="12" t="n">
        <f aca="false">H22</f>
        <v>3427428</v>
      </c>
      <c r="G22" s="10" t="n">
        <f aca="false">BS!G20</f>
        <v>3269635</v>
      </c>
      <c r="H22" s="10" t="n">
        <f aca="false">BS!H20</f>
        <v>3427428</v>
      </c>
    </row>
    <row r="24" customFormat="false" ht="15" hidden="false" customHeight="true" outlineLevel="0" collapsed="false">
      <c r="A24" s="5" t="s">
        <v>191</v>
      </c>
      <c r="B24" s="6"/>
      <c r="C24" s="6"/>
      <c r="D24" s="6"/>
      <c r="E24" s="6"/>
      <c r="F24" s="6"/>
      <c r="G24" s="6"/>
      <c r="H24" s="6"/>
    </row>
    <row r="25" customFormat="false" ht="15" hidden="false" customHeight="true" outlineLevel="0" collapsed="false">
      <c r="A25" s="7" t="s">
        <v>40</v>
      </c>
      <c r="B25" s="44" t="n">
        <v>0.96</v>
      </c>
      <c r="C25" s="44" t="n">
        <v>0.96</v>
      </c>
      <c r="D25" s="44" t="n">
        <v>0.96</v>
      </c>
      <c r="E25" s="44" t="n">
        <v>0.96</v>
      </c>
      <c r="F25" s="44" t="n">
        <v>0.96</v>
      </c>
      <c r="G25" s="8" t="n">
        <f aca="false">'Return Profile'!G10</f>
        <v>0.96</v>
      </c>
      <c r="H25" s="8" t="n">
        <f aca="false">'Return Profile'!H10</f>
        <v>0.72</v>
      </c>
    </row>
    <row r="26" customFormat="false" ht="15" hidden="false" customHeight="true" outlineLevel="0" collapsed="false">
      <c r="A26" s="7" t="s">
        <v>192</v>
      </c>
      <c r="B26" s="43" t="n">
        <v>0.58</v>
      </c>
      <c r="C26" s="43" t="n">
        <v>0.58</v>
      </c>
      <c r="D26" s="43" t="n">
        <v>0.58</v>
      </c>
      <c r="E26" s="43" t="n">
        <v>0.58</v>
      </c>
      <c r="F26" s="43" t="n">
        <v>0.58</v>
      </c>
    </row>
    <row r="27" customFormat="false" ht="15" hidden="false" customHeight="true" outlineLevel="0" collapsed="false">
      <c r="A27" s="7" t="s">
        <v>193</v>
      </c>
      <c r="B27" s="44" t="n">
        <v>24.5</v>
      </c>
      <c r="C27" s="44" t="n">
        <v>24.75</v>
      </c>
      <c r="D27" s="44" t="n">
        <v>25</v>
      </c>
      <c r="E27" s="44" t="n">
        <v>25.25</v>
      </c>
      <c r="F27" s="44" t="n">
        <v>25.5</v>
      </c>
      <c r="G27" s="8" t="n">
        <f aca="false">BS!G38</f>
        <v>24.26</v>
      </c>
      <c r="H27" s="8" t="n">
        <f aca="false">BS!H38</f>
        <v>24.36</v>
      </c>
    </row>
    <row r="28" customFormat="false" ht="15" hidden="false" customHeight="true" outlineLevel="0" collapsed="false">
      <c r="A28" s="7" t="s">
        <v>194</v>
      </c>
      <c r="B28" s="45" t="n">
        <v>350000</v>
      </c>
      <c r="C28" s="45" t="n">
        <v>300000</v>
      </c>
      <c r="D28" s="45" t="n">
        <v>275000</v>
      </c>
      <c r="E28" s="45" t="n">
        <v>250000</v>
      </c>
      <c r="F28" s="45" t="n">
        <v>225000</v>
      </c>
      <c r="G28" s="10" t="n">
        <f aca="false">CFS!G24</f>
        <v>492223</v>
      </c>
      <c r="H28" s="10" t="n">
        <f aca="false">CFS!H24</f>
        <v>325059</v>
      </c>
    </row>
    <row r="29" customFormat="false" ht="15" hidden="false" customHeight="true" outlineLevel="0" collapsed="false">
      <c r="A29" s="7" t="s">
        <v>195</v>
      </c>
      <c r="B29" s="45" t="n">
        <v>-380000</v>
      </c>
      <c r="C29" s="45" t="n">
        <v>-400000</v>
      </c>
      <c r="D29" s="45" t="n">
        <v>-400000</v>
      </c>
      <c r="E29" s="45" t="n">
        <v>-375000</v>
      </c>
      <c r="F29" s="45" t="n">
        <v>-350000</v>
      </c>
      <c r="G29" s="10" t="n">
        <f aca="false">CFS!G27</f>
        <v>-379251</v>
      </c>
      <c r="H29" s="10" t="n">
        <f aca="false">CFS!H27</f>
        <v>-303072</v>
      </c>
    </row>
    <row r="30" customFormat="false" ht="15" hidden="false" customHeight="true" outlineLevel="0" collapsed="false">
      <c r="A30" s="7" t="s">
        <v>192</v>
      </c>
      <c r="B30" s="12" t="n">
        <f aca="false">B26</f>
        <v>0.58</v>
      </c>
      <c r="C30" s="12" t="n">
        <f aca="false">C26</f>
        <v>0.58</v>
      </c>
      <c r="D30" s="12" t="n">
        <f aca="false">D26</f>
        <v>0.58</v>
      </c>
      <c r="E30" s="12" t="n">
        <f aca="false">E26</f>
        <v>0.58</v>
      </c>
      <c r="F30" s="12" t="n">
        <f aca="false">F26</f>
        <v>0.58</v>
      </c>
      <c r="G30" s="9" t="n">
        <f aca="false">CFS!G24</f>
        <v>492223</v>
      </c>
    </row>
    <row r="31" customFormat="false" ht="15" hidden="false" customHeight="true" outlineLevel="0" collapsed="false">
      <c r="A31" s="7" t="s">
        <v>196</v>
      </c>
      <c r="B31" s="12" t="n">
        <f aca="false">B25*H35</f>
        <v>174847.68</v>
      </c>
      <c r="C31" s="12" t="n">
        <f aca="false">C25*B35</f>
        <v>174847.68</v>
      </c>
      <c r="D31" s="12" t="n">
        <f aca="false">D25*C35</f>
        <v>177645.850947918</v>
      </c>
      <c r="E31" s="12" t="n">
        <f aca="false">E25*D35</f>
        <v>177700.606027676</v>
      </c>
      <c r="F31" s="12" t="n">
        <f aca="false">F25*E35</f>
        <v>176857.134419988</v>
      </c>
    </row>
    <row r="32" customFormat="false" ht="15" hidden="false" customHeight="true" outlineLevel="0" collapsed="false">
      <c r="A32" s="7" t="s">
        <v>197</v>
      </c>
      <c r="B32" s="12" t="n">
        <f aca="false">B31*B30</f>
        <v>101411.6544</v>
      </c>
      <c r="C32" s="12" t="n">
        <f aca="false">C31*C30</f>
        <v>101411.6544</v>
      </c>
      <c r="D32" s="12" t="n">
        <f aca="false">D31*D30</f>
        <v>103034.593549793</v>
      </c>
      <c r="E32" s="12" t="n">
        <f aca="false">E31*E30</f>
        <v>103066.351496052</v>
      </c>
      <c r="F32" s="12" t="n">
        <f aca="false">F31*F30</f>
        <v>102577.137963593</v>
      </c>
    </row>
    <row r="34" customFormat="false" ht="15" hidden="false" customHeight="true" outlineLevel="0" collapsed="false">
      <c r="A34" s="11" t="s">
        <v>198</v>
      </c>
      <c r="B34" s="43" t="n">
        <v>0.03</v>
      </c>
      <c r="C34" s="43" t="n">
        <v>0.02</v>
      </c>
      <c r="D34" s="43" t="n">
        <v>0.02</v>
      </c>
      <c r="E34" s="43" t="n">
        <v>0.01</v>
      </c>
      <c r="F34" s="43" t="n">
        <v>0.01</v>
      </c>
      <c r="G34" s="9" t="n">
        <f aca="false">IS!G152</f>
        <v>0</v>
      </c>
    </row>
    <row r="35" customFormat="false" ht="15" hidden="false" customHeight="true" outlineLevel="0" collapsed="false">
      <c r="A35" s="7" t="s">
        <v>199</v>
      </c>
      <c r="B35" s="12" t="n">
        <f aca="false">H35</f>
        <v>182133</v>
      </c>
      <c r="C35" s="12" t="n">
        <f aca="false">B40</f>
        <v>185047.761404082</v>
      </c>
      <c r="D35" s="12" t="n">
        <f aca="false">C40</f>
        <v>185104.797945496</v>
      </c>
      <c r="E35" s="12" t="n">
        <f aca="false">D40</f>
        <v>184226.181687487</v>
      </c>
      <c r="F35" s="12" t="n">
        <f aca="false">E40</f>
        <v>183357.522340796</v>
      </c>
      <c r="G35" s="10" t="n">
        <f aca="false">IS!G150</f>
        <v>176936</v>
      </c>
      <c r="H35" s="10" t="n">
        <f aca="false">IS!H150</f>
        <v>182133</v>
      </c>
    </row>
    <row r="36" customFormat="false" ht="15" hidden="false" customHeight="true" outlineLevel="0" collapsed="false">
      <c r="A36" s="7" t="s">
        <v>200</v>
      </c>
      <c r="B36" s="12" t="n">
        <f aca="false">B28/B27</f>
        <v>14285.7142857143</v>
      </c>
      <c r="C36" s="12" t="n">
        <f aca="false">C28/C27</f>
        <v>12121.2121212121</v>
      </c>
      <c r="D36" s="12" t="n">
        <f aca="false">D28/D27</f>
        <v>11000</v>
      </c>
      <c r="E36" s="12" t="n">
        <f aca="false">E28/E27</f>
        <v>9900.9900990099</v>
      </c>
      <c r="F36" s="12" t="n">
        <f aca="false">F28/F27</f>
        <v>8823.52941176471</v>
      </c>
    </row>
    <row r="37" customFormat="false" ht="15" hidden="false" customHeight="true" outlineLevel="0" collapsed="false">
      <c r="A37" s="46" t="s">
        <v>201</v>
      </c>
      <c r="B37" s="47" t="n">
        <f aca="false">B32/B27</f>
        <v>4139.2512</v>
      </c>
      <c r="C37" s="47" t="n">
        <f aca="false">C32/C27</f>
        <v>4097.44058181818</v>
      </c>
      <c r="D37" s="47" t="n">
        <f aca="false">D32/D27</f>
        <v>4121.38374199171</v>
      </c>
      <c r="E37" s="47" t="n">
        <f aca="false">E32/E27</f>
        <v>4081.83570281394</v>
      </c>
      <c r="F37" s="47" t="n">
        <f aca="false">F32/F27</f>
        <v>4022.63286131737</v>
      </c>
      <c r="G37" s="6"/>
      <c r="H37" s="6"/>
    </row>
    <row r="38" customFormat="false" ht="15" hidden="false" customHeight="true" outlineLevel="0" collapsed="false">
      <c r="A38" s="7" t="s">
        <v>202</v>
      </c>
      <c r="B38" s="48" t="n">
        <f aca="false">B29/B27</f>
        <v>-15510.2040816327</v>
      </c>
      <c r="C38" s="48" t="n">
        <f aca="false">C29/C27</f>
        <v>-16161.6161616162</v>
      </c>
      <c r="D38" s="48" t="n">
        <f aca="false">D29/D27</f>
        <v>-16000</v>
      </c>
      <c r="E38" s="48" t="n">
        <f aca="false">E29/E27</f>
        <v>-14851.4851485149</v>
      </c>
      <c r="F38" s="48" t="n">
        <f aca="false">F29/F27</f>
        <v>-13725.4901960784</v>
      </c>
      <c r="G38" s="23" t="n">
        <f aca="false">BS!G42</f>
        <v>0.0438</v>
      </c>
    </row>
    <row r="39" customFormat="false" ht="15" hidden="false" customHeight="true" outlineLevel="0" collapsed="false">
      <c r="A39" s="7" t="s">
        <v>203</v>
      </c>
      <c r="B39" s="49" t="n">
        <v>0</v>
      </c>
      <c r="C39" s="49" t="n">
        <v>0</v>
      </c>
      <c r="D39" s="49" t="n">
        <v>0</v>
      </c>
      <c r="E39" s="49" t="n">
        <v>0</v>
      </c>
      <c r="F39" s="49" t="n">
        <v>0</v>
      </c>
      <c r="G39" s="23" t="n">
        <f aca="false">BS!G42</f>
        <v>0.0438</v>
      </c>
      <c r="H39" s="23" t="n">
        <f aca="false">BS!H42</f>
        <v>0.0436</v>
      </c>
    </row>
    <row r="40" customFormat="false" ht="15" hidden="false" customHeight="true" outlineLevel="0" collapsed="false">
      <c r="A40" s="11" t="s">
        <v>204</v>
      </c>
      <c r="B40" s="21" t="n">
        <f aca="false">SUM(B35:B39)</f>
        <v>185047.761404082</v>
      </c>
      <c r="C40" s="21" t="n">
        <f aca="false">SUM(C35:C39)</f>
        <v>185104.797945496</v>
      </c>
      <c r="D40" s="21" t="n">
        <f aca="false">SUM(D35:D39)</f>
        <v>184226.181687487</v>
      </c>
      <c r="E40" s="21" t="n">
        <f aca="false">SUM(E35:E39)</f>
        <v>183357.522340796</v>
      </c>
      <c r="F40" s="21" t="n">
        <f aca="false">SUM(F35:F39)</f>
        <v>182478.1944178</v>
      </c>
    </row>
    <row r="41" customFormat="false" ht="15" hidden="false" customHeight="true" outlineLevel="0" collapsed="false">
      <c r="A41" s="46" t="s">
        <v>82</v>
      </c>
      <c r="B41" s="50" t="n">
        <f aca="false">IF(B35=0,"",B40/B35-1)</f>
        <v>0.01600347770081</v>
      </c>
      <c r="C41" s="50" t="n">
        <f aca="false">IF(C35=0,"",C40/C35-1)</f>
        <v>0.000308226054621441</v>
      </c>
      <c r="D41" s="50" t="n">
        <f aca="false">IF(D35=0,"",D40/D35-1)</f>
        <v>-0.00474658824493035</v>
      </c>
      <c r="E41" s="50" t="n">
        <f aca="false">IF(E35=0,"",E40/E35-1)</f>
        <v>-0.00471517858501003</v>
      </c>
      <c r="F41" s="50" t="n">
        <f aca="false">IF(F35=0,"",F40/F35-1)</f>
        <v>-0.00479570138039942</v>
      </c>
      <c r="G41" s="6"/>
      <c r="H41" s="6"/>
    </row>
    <row r="42" customFormat="false" ht="15" hidden="false" customHeight="true" outlineLevel="0" collapsed="false">
      <c r="A42" s="5" t="s">
        <v>205</v>
      </c>
      <c r="B42" s="6"/>
      <c r="C42" s="6"/>
      <c r="D42" s="6"/>
      <c r="E42" s="6"/>
      <c r="F42" s="6"/>
      <c r="G42" s="6"/>
      <c r="H42" s="6"/>
    </row>
    <row r="43" customFormat="false" ht="15" hidden="false" customHeight="true" outlineLevel="0" collapsed="false">
      <c r="A43" s="7" t="s">
        <v>206</v>
      </c>
      <c r="B43" s="51" t="n">
        <v>0.05</v>
      </c>
      <c r="C43" s="51" t="n">
        <v>0.05</v>
      </c>
      <c r="D43" s="51" t="n">
        <v>0.05</v>
      </c>
      <c r="E43" s="51" t="n">
        <v>0.05</v>
      </c>
      <c r="F43" s="51" t="n">
        <v>0.05</v>
      </c>
      <c r="G43" s="23" t="n">
        <f aca="false">BS!G42</f>
        <v>0.0438</v>
      </c>
    </row>
    <row r="44" customFormat="false" ht="15" hidden="false" customHeight="true" outlineLevel="0" collapsed="false">
      <c r="A44" s="3" t="s">
        <v>207</v>
      </c>
      <c r="G44" s="52" t="n">
        <f aca="false">BS!G42</f>
        <v>0.0438</v>
      </c>
      <c r="H44" s="52" t="n">
        <f aca="false">BS!H42</f>
        <v>0.0436</v>
      </c>
    </row>
    <row r="45" customFormat="false" ht="15" hidden="false" customHeight="true" outlineLevel="0" collapsed="false">
      <c r="A45" s="7" t="s">
        <v>19</v>
      </c>
      <c r="B45" s="21" t="n">
        <f aca="false">B10</f>
        <v>243844.192</v>
      </c>
      <c r="C45" s="21" t="n">
        <f aca="false">C10</f>
        <v>252378.73872</v>
      </c>
      <c r="D45" s="21" t="n">
        <f aca="false">D10</f>
        <v>261211.9945752</v>
      </c>
      <c r="E45" s="21" t="n">
        <f aca="false">E10</f>
        <v>269048.354412456</v>
      </c>
      <c r="F45" s="21" t="n">
        <f aca="false">F10</f>
        <v>277119.80504483</v>
      </c>
    </row>
    <row r="46" customFormat="false" ht="15" hidden="false" customHeight="true" outlineLevel="0" collapsed="false">
      <c r="A46" s="7" t="s">
        <v>208</v>
      </c>
      <c r="B46" s="12" t="n">
        <f aca="false">-B15*B12</f>
        <v>-39695.5661395349</v>
      </c>
      <c r="C46" s="12" t="n">
        <f aca="false">-C15*C12</f>
        <v>-40768.8731778462</v>
      </c>
      <c r="D46" s="12" t="n">
        <f aca="false">-D15*D12</f>
        <v>-41873.6785196886</v>
      </c>
      <c r="E46" s="12" t="n">
        <f aca="false">-E15*E12</f>
        <v>-42803.1472928907</v>
      </c>
      <c r="F46" s="12" t="n">
        <f aca="false">-F15*F12</f>
        <v>-44087.2417116774</v>
      </c>
    </row>
    <row r="47" customFormat="false" ht="15" hidden="false" customHeight="true" outlineLevel="0" collapsed="false">
      <c r="A47" s="7" t="s">
        <v>209</v>
      </c>
      <c r="B47" s="53" t="n">
        <v>-33000</v>
      </c>
      <c r="C47" s="12" t="n">
        <f aca="false">-C16*3660000</f>
        <v>-32940</v>
      </c>
      <c r="D47" s="12" t="n">
        <f aca="false">-D16*3660000</f>
        <v>-32940</v>
      </c>
      <c r="E47" s="12" t="n">
        <f aca="false">-E16*3660000</f>
        <v>-32940</v>
      </c>
      <c r="F47" s="12" t="n">
        <f aca="false">-F16*3660000</f>
        <v>-32940</v>
      </c>
    </row>
    <row r="48" customFormat="false" ht="15" hidden="false" customHeight="true" outlineLevel="0" collapsed="false">
      <c r="A48" s="7" t="s">
        <v>210</v>
      </c>
      <c r="B48" s="12" t="n">
        <f aca="false">-B17*B12</f>
        <v>-15122.1204341085</v>
      </c>
      <c r="C48" s="12" t="n">
        <f aca="false">-C17*C12</f>
        <v>-15530.9993058462</v>
      </c>
      <c r="D48" s="12" t="n">
        <f aca="false">-D17*D12</f>
        <v>-15951.8775313099</v>
      </c>
      <c r="E48" s="12" t="n">
        <f aca="false">-E17*E12</f>
        <v>-16305.9608734822</v>
      </c>
      <c r="F48" s="12" t="n">
        <f aca="false">-F17*F12</f>
        <v>-16795.1396996866</v>
      </c>
    </row>
    <row r="49" customFormat="false" ht="15" hidden="false" customHeight="true" outlineLevel="0" collapsed="false">
      <c r="A49" s="7" t="s">
        <v>211</v>
      </c>
      <c r="B49" s="21" t="n">
        <f aca="false">-B21*B22</f>
        <v>-116532.552</v>
      </c>
      <c r="C49" s="21" t="n">
        <f aca="false">-C21*C22</f>
        <v>-119959.98</v>
      </c>
      <c r="D49" s="21" t="n">
        <f aca="false">-D21*D22</f>
        <v>-123387.408</v>
      </c>
      <c r="E49" s="21" t="n">
        <f aca="false">-E21*E22</f>
        <v>-123387.408</v>
      </c>
      <c r="F49" s="21" t="n">
        <f aca="false">-F21*F22</f>
        <v>-123387.408</v>
      </c>
    </row>
    <row r="50" customFormat="false" ht="15" hidden="false" customHeight="true" outlineLevel="0" collapsed="false">
      <c r="A50" s="7" t="s">
        <v>212</v>
      </c>
      <c r="B50" s="45" t="n">
        <v>0</v>
      </c>
      <c r="C50" s="54" t="n">
        <v>0</v>
      </c>
      <c r="D50" s="54" t="n">
        <v>0</v>
      </c>
      <c r="E50" s="54" t="n">
        <v>0</v>
      </c>
      <c r="F50" s="54" t="n">
        <v>0</v>
      </c>
    </row>
    <row r="51" customFormat="false" ht="15" hidden="false" customHeight="true" outlineLevel="0" collapsed="false">
      <c r="A51" s="7" t="s">
        <v>213</v>
      </c>
      <c r="B51" s="54" t="n">
        <v>0</v>
      </c>
      <c r="C51" s="54" t="n">
        <v>0</v>
      </c>
      <c r="D51" s="54" t="n">
        <v>0</v>
      </c>
      <c r="E51" s="54" t="n">
        <v>0</v>
      </c>
      <c r="F51" s="54" t="n">
        <v>0</v>
      </c>
    </row>
    <row r="52" customFormat="false" ht="15" hidden="false" customHeight="true" outlineLevel="0" collapsed="false">
      <c r="A52" s="11" t="s">
        <v>214</v>
      </c>
      <c r="B52" s="21" t="n">
        <f aca="false">SUM(B45:B51)</f>
        <v>39493.9534263566</v>
      </c>
      <c r="C52" s="21" t="n">
        <f aca="false">SUM(C45:C51)</f>
        <v>43178.8862363077</v>
      </c>
      <c r="D52" s="21" t="n">
        <f aca="false">SUM(D45:D51)</f>
        <v>47059.0305242015</v>
      </c>
      <c r="E52" s="21" t="n">
        <f aca="false">SUM(E45:E51)</f>
        <v>53611.8382460831</v>
      </c>
      <c r="F52" s="21" t="n">
        <f aca="false">SUM(F45:F51)</f>
        <v>59910.0156334656</v>
      </c>
    </row>
    <row r="53" customFormat="false" ht="15" hidden="false" customHeight="true" outlineLevel="0" collapsed="false">
      <c r="A53" s="7" t="s">
        <v>215</v>
      </c>
      <c r="B53" s="12" t="n">
        <f aca="false">-B18*B45</f>
        <v>-36576.6288</v>
      </c>
      <c r="C53" s="12" t="n">
        <f aca="false">-C18*C45</f>
        <v>-37856.810808</v>
      </c>
      <c r="D53" s="12" t="n">
        <f aca="false">-D18*D45</f>
        <v>-39181.79918628</v>
      </c>
      <c r="E53" s="12" t="n">
        <f aca="false">-E18*E45</f>
        <v>-40357.2531618684</v>
      </c>
      <c r="F53" s="12" t="n">
        <f aca="false">-F18*F45</f>
        <v>-41567.9707567245</v>
      </c>
    </row>
    <row r="54" customFormat="false" ht="15" hidden="false" customHeight="true" outlineLevel="0" collapsed="false">
      <c r="A54" s="11" t="s">
        <v>216</v>
      </c>
      <c r="B54" s="21" t="n">
        <f aca="false">B52+B53</f>
        <v>2917.32462635659</v>
      </c>
      <c r="C54" s="21" t="n">
        <f aca="false">C52+C53</f>
        <v>5322.07542830768</v>
      </c>
      <c r="D54" s="21" t="n">
        <f aca="false">D52+D53</f>
        <v>7877.2313379215</v>
      </c>
      <c r="E54" s="21" t="n">
        <f aca="false">E52+E53</f>
        <v>13254.5850842147</v>
      </c>
      <c r="F54" s="21" t="n">
        <f aca="false">F52+F53</f>
        <v>18342.0448767411</v>
      </c>
    </row>
    <row r="55" customFormat="false" ht="15" hidden="false" customHeight="true" outlineLevel="0" collapsed="false">
      <c r="A55" s="7" t="s">
        <v>217</v>
      </c>
      <c r="B55" s="12" t="n">
        <f aca="false">-B25*B40*(1-B26)</f>
        <v>-74611.2573981257</v>
      </c>
      <c r="C55" s="12" t="n">
        <f aca="false">-C25*C40*(1-C26)</f>
        <v>-74634.2545316239</v>
      </c>
      <c r="D55" s="12" t="n">
        <f aca="false">-D25*D40*(1-D26)</f>
        <v>-74279.996456395</v>
      </c>
      <c r="E55" s="12" t="n">
        <f aca="false">-E25*E40*(1-E26)</f>
        <v>-73929.7530078091</v>
      </c>
      <c r="F55" s="12" t="n">
        <f aca="false">-F25*F40*(1-F26)</f>
        <v>-73575.207989257</v>
      </c>
    </row>
    <row r="56" customFormat="false" ht="15" hidden="false" customHeight="true" outlineLevel="0" collapsed="false">
      <c r="A56" s="5" t="s">
        <v>218</v>
      </c>
      <c r="B56" s="47"/>
      <c r="C56" s="47"/>
      <c r="D56" s="47"/>
      <c r="E56" s="47"/>
      <c r="F56" s="47"/>
      <c r="G56" s="6"/>
      <c r="H56" s="6"/>
    </row>
    <row r="57" customFormat="false" ht="15" hidden="false" customHeight="true" outlineLevel="0" collapsed="false">
      <c r="A57" s="3" t="s">
        <v>219</v>
      </c>
      <c r="B57" s="55"/>
      <c r="C57" s="55"/>
      <c r="D57" s="55"/>
      <c r="E57" s="55"/>
      <c r="F57" s="55"/>
    </row>
    <row r="58" customFormat="false" ht="15" hidden="false" customHeight="true" outlineLevel="0" collapsed="false"/>
    <row r="59" customFormat="false" ht="15" hidden="false" customHeight="true" outlineLevel="0" collapsed="false">
      <c r="A59" s="7" t="s">
        <v>220</v>
      </c>
      <c r="B59" s="20" t="n">
        <f aca="false">B27</f>
        <v>24.5</v>
      </c>
      <c r="C59" s="20" t="n">
        <f aca="false">C27</f>
        <v>24.75</v>
      </c>
      <c r="D59" s="20" t="n">
        <f aca="false">D27</f>
        <v>25</v>
      </c>
      <c r="E59" s="20" t="n">
        <f aca="false">E27</f>
        <v>25.25</v>
      </c>
      <c r="F59" s="20" t="n">
        <f aca="false">F27</f>
        <v>25.5</v>
      </c>
    </row>
    <row r="60" customFormat="false" ht="15" hidden="false" customHeight="true" outlineLevel="0" collapsed="false">
      <c r="A60" s="7" t="s">
        <v>221</v>
      </c>
      <c r="B60" s="12" t="n">
        <f aca="false">H35*B59</f>
        <v>4462258.5</v>
      </c>
      <c r="C60" s="12" t="n">
        <f aca="false">B65</f>
        <v>4564374.12582793</v>
      </c>
      <c r="D60" s="12" t="n">
        <f aca="false">C65</f>
        <v>4589914.61156479</v>
      </c>
      <c r="E60" s="12" t="n">
        <f aca="false">D65</f>
        <v>4600184.35455591</v>
      </c>
      <c r="F60" s="12" t="n">
        <f aca="false">E65</f>
        <v>4593421.51168382</v>
      </c>
    </row>
    <row r="61" customFormat="false" ht="15" hidden="false" customHeight="true" outlineLevel="0" collapsed="false">
      <c r="A61" s="7" t="s">
        <v>222</v>
      </c>
      <c r="B61" s="12" t="n">
        <f aca="false">(B45-B7)/0.0438</f>
        <v>203809.558599696</v>
      </c>
      <c r="C61" s="12" t="n">
        <f aca="false">(C45-B45)/0.0438</f>
        <v>194852.664840182</v>
      </c>
      <c r="D61" s="12" t="n">
        <f aca="false">(D45-C45)/0.0438</f>
        <v>201672.508109588</v>
      </c>
      <c r="E61" s="12" t="n">
        <f aca="false">(E45-D45)/0.0438</f>
        <v>178912.325051507</v>
      </c>
      <c r="F61" s="12" t="n">
        <f aca="false">(F45-E45)/0.0438</f>
        <v>184279.694803052</v>
      </c>
    </row>
    <row r="62" customFormat="false" ht="15" hidden="false" customHeight="true" outlineLevel="0" collapsed="false">
      <c r="A62" s="7" t="s">
        <v>223</v>
      </c>
      <c r="B62" s="12" t="n">
        <f aca="false">B54+B55</f>
        <v>-71693.9327717691</v>
      </c>
      <c r="C62" s="12" t="n">
        <f aca="false">C54+C55</f>
        <v>-69312.1791033162</v>
      </c>
      <c r="D62" s="12" t="n">
        <f aca="false">D54+D55</f>
        <v>-66402.7651184734</v>
      </c>
      <c r="E62" s="12" t="n">
        <f aca="false">E54+E55</f>
        <v>-60675.1679235944</v>
      </c>
      <c r="F62" s="12" t="n">
        <f aca="false">F54+F55</f>
        <v>-55233.1631125159</v>
      </c>
    </row>
    <row r="63" customFormat="false" ht="15" hidden="false" customHeight="true" outlineLevel="0" collapsed="false">
      <c r="A63" s="7" t="s">
        <v>224</v>
      </c>
      <c r="B63" s="12" t="n">
        <f aca="false">B28+B29</f>
        <v>-30000</v>
      </c>
      <c r="C63" s="12" t="n">
        <f aca="false">C28+C29</f>
        <v>-100000</v>
      </c>
      <c r="D63" s="12" t="n">
        <f aca="false">D28+D29</f>
        <v>-125000</v>
      </c>
      <c r="E63" s="12" t="n">
        <f aca="false">E28+E29</f>
        <v>-125000</v>
      </c>
      <c r="F63" s="12" t="n">
        <f aca="false">F28+F29</f>
        <v>-125000</v>
      </c>
    </row>
    <row r="64" customFormat="false" ht="15" hidden="false" customHeight="true" outlineLevel="0" collapsed="false">
      <c r="A64" s="3" t="s">
        <v>225</v>
      </c>
      <c r="B64" s="49" t="n">
        <v>0</v>
      </c>
      <c r="C64" s="49" t="n">
        <v>0</v>
      </c>
      <c r="D64" s="49" t="n">
        <v>0</v>
      </c>
      <c r="E64" s="49" t="n">
        <v>0</v>
      </c>
      <c r="F64" s="49" t="n">
        <v>0</v>
      </c>
    </row>
    <row r="65" customFormat="false" ht="15" hidden="false" customHeight="true" outlineLevel="0" collapsed="false">
      <c r="A65" s="11" t="s">
        <v>226</v>
      </c>
      <c r="B65" s="21" t="n">
        <f aca="false">SUM(B60:B64)</f>
        <v>4564374.12582793</v>
      </c>
      <c r="C65" s="21" t="n">
        <f aca="false">SUM(C60:C64)</f>
        <v>4589914.61156479</v>
      </c>
      <c r="D65" s="21" t="n">
        <f aca="false">SUM(D60:D64)</f>
        <v>4600184.35455591</v>
      </c>
      <c r="E65" s="21" t="n">
        <f aca="false">SUM(E60:E64)</f>
        <v>4593421.51168382</v>
      </c>
      <c r="F65" s="21" t="n">
        <f aca="false">SUM(F60:F64)</f>
        <v>4597468.04337436</v>
      </c>
    </row>
    <row r="66" customFormat="false" ht="15" hidden="false" customHeight="true" outlineLevel="0" collapsed="false">
      <c r="A66" s="7" t="s">
        <v>204</v>
      </c>
      <c r="B66" s="12" t="n">
        <f aca="false">B40</f>
        <v>185047.761404082</v>
      </c>
      <c r="C66" s="12" t="n">
        <f aca="false">C40</f>
        <v>185104.797945496</v>
      </c>
      <c r="D66" s="12" t="n">
        <f aca="false">D40</f>
        <v>184226.181687487</v>
      </c>
      <c r="E66" s="12" t="n">
        <f aca="false">E40</f>
        <v>183357.522340796</v>
      </c>
      <c r="F66" s="12" t="n">
        <f aca="false">F40</f>
        <v>182478.1944178</v>
      </c>
    </row>
    <row r="67" customFormat="false" ht="15" hidden="false" customHeight="true" outlineLevel="0" collapsed="false">
      <c r="A67" s="11" t="s">
        <v>227</v>
      </c>
      <c r="B67" s="56" t="n">
        <f aca="false">IF(B66=0,"",B65/B66)</f>
        <v>24.6659245764172</v>
      </c>
      <c r="C67" s="56" t="n">
        <f aca="false">IF(C66=0,"",C65/C66)</f>
        <v>24.7963027566487</v>
      </c>
      <c r="D67" s="56" t="n">
        <f aca="false">IF(D66=0,"",D65/D66)</f>
        <v>24.9703072191956</v>
      </c>
      <c r="E67" s="56" t="n">
        <f aca="false">IF(E66=0,"",E65/E66)</f>
        <v>25.0517211022643</v>
      </c>
      <c r="F67" s="56" t="n">
        <f aca="false">IF(F66=0,"",F65/F66)</f>
        <v>25.1946160364128</v>
      </c>
    </row>
    <row r="68" customFormat="false" ht="15" hidden="false" customHeight="true" outlineLevel="0" collapsed="false">
      <c r="A68" s="7" t="s">
        <v>228</v>
      </c>
      <c r="B68" s="13" t="n">
        <f aca="false">IF(B59=0,"",B67/B59-1)</f>
        <v>0.00677243169049846</v>
      </c>
      <c r="C68" s="13" t="n">
        <f aca="false">IF(C59=0,"",C67/C59-1)</f>
        <v>0.00187081845045167</v>
      </c>
      <c r="D68" s="13" t="n">
        <f aca="false">IF(D59=0,"",D67/D59-1)</f>
        <v>-0.00118771123217609</v>
      </c>
      <c r="E68" s="13" t="n">
        <f aca="false">IF(E59=0,"",E67/E59-1)</f>
        <v>-0.00785262961329669</v>
      </c>
      <c r="F68" s="13" t="n">
        <f aca="false">IF(F59=0,"",F67/F59-1)</f>
        <v>-0.0119758417093024</v>
      </c>
    </row>
    <row r="69" customFormat="false" ht="15" hidden="false" customHeight="true" outlineLevel="0" collapsed="false">
      <c r="A69" s="7"/>
      <c r="B69" s="12"/>
      <c r="C69" s="12"/>
      <c r="D69" s="12"/>
      <c r="E69" s="12"/>
      <c r="F69" s="12"/>
    </row>
    <row r="70" customFormat="false" ht="15" hidden="false" customHeight="true" outlineLevel="0" collapsed="false">
      <c r="A70" s="11" t="s">
        <v>229</v>
      </c>
      <c r="B70" s="12"/>
      <c r="C70" s="12"/>
      <c r="D70" s="12"/>
      <c r="E70" s="12"/>
      <c r="F70" s="12"/>
    </row>
    <row r="71" customFormat="false" ht="15" hidden="false" customHeight="true" outlineLevel="0" collapsed="false">
      <c r="A71" s="7" t="s">
        <v>230</v>
      </c>
      <c r="B71" s="20" t="n">
        <f aca="false">B59</f>
        <v>24.5</v>
      </c>
      <c r="C71" s="20" t="n">
        <f aca="false">C59</f>
        <v>24.75</v>
      </c>
      <c r="D71" s="20" t="n">
        <f aca="false">D59</f>
        <v>25</v>
      </c>
      <c r="E71" s="20" t="n">
        <f aca="false">E59</f>
        <v>25.25</v>
      </c>
      <c r="F71" s="20" t="n">
        <f aca="false">F59</f>
        <v>25.5</v>
      </c>
    </row>
    <row r="72" customFormat="false" ht="15" hidden="false" customHeight="true" outlineLevel="0" collapsed="false">
      <c r="A72" s="7" t="s">
        <v>231</v>
      </c>
      <c r="B72" s="20" t="n">
        <f aca="false">B67</f>
        <v>24.6659245764172</v>
      </c>
      <c r="C72" s="20" t="n">
        <f aca="false">C67</f>
        <v>24.7963027566487</v>
      </c>
      <c r="D72" s="20" t="n">
        <f aca="false">D67</f>
        <v>24.9703072191956</v>
      </c>
      <c r="E72" s="20" t="n">
        <f aca="false">E67</f>
        <v>25.0517211022643</v>
      </c>
      <c r="F72" s="20" t="n">
        <f aca="false">F67</f>
        <v>25.1946160364128</v>
      </c>
    </row>
    <row r="73" customFormat="false" ht="15" hidden="false" customHeight="true" outlineLevel="0" collapsed="false">
      <c r="A73" s="7" t="s">
        <v>232</v>
      </c>
      <c r="B73" s="20" t="n">
        <f aca="false">B25*(1-B26)</f>
        <v>0.4032</v>
      </c>
      <c r="C73" s="20" t="n">
        <f aca="false">C25*(1-C26)</f>
        <v>0.4032</v>
      </c>
      <c r="D73" s="20" t="n">
        <f aca="false">D25*(1-D26)</f>
        <v>0.4032</v>
      </c>
      <c r="E73" s="20" t="n">
        <f aca="false">E25*(1-E26)</f>
        <v>0.4032</v>
      </c>
      <c r="F73" s="20" t="n">
        <f aca="false">F25*(1-F26)</f>
        <v>0.4032</v>
      </c>
    </row>
    <row r="74" customFormat="false" ht="15" hidden="false" customHeight="true" outlineLevel="0" collapsed="false">
      <c r="A74" s="11" t="s">
        <v>233</v>
      </c>
      <c r="B74" s="57" t="n">
        <f aca="false">IF(B71=0,"",(B72-B71+B73)/B71)</f>
        <v>0.0232295745476414</v>
      </c>
      <c r="C74" s="57" t="n">
        <f aca="false">IF(C71=0,"",(C72-C71+C73)/C71)</f>
        <v>0.0181617275413608</v>
      </c>
      <c r="D74" s="57" t="n">
        <f aca="false">IF(D71=0,"",(D72-D71+D73)/D71)</f>
        <v>0.0149402887678239</v>
      </c>
      <c r="E74" s="57" t="n">
        <f aca="false">IF(E71=0,"",(E72-E71+E73)/E71)</f>
        <v>0.00811568721838653</v>
      </c>
      <c r="F74" s="57" t="n">
        <f aca="false">IF(F71=0,"",(F72-F71+F73)/F71)</f>
        <v>0.00383592299657997</v>
      </c>
    </row>
    <row r="75" customFormat="false" ht="15" hidden="false" customHeight="true" outlineLevel="0" collapsed="false">
      <c r="A75" s="3" t="s">
        <v>234</v>
      </c>
      <c r="B75" s="58" t="n">
        <f aca="false">IF(B71=0,"",(B72-B71)/B71)</f>
        <v>0.00677243169049856</v>
      </c>
      <c r="C75" s="58" t="n">
        <f aca="false">IF(C71=0,"",(C72-C71)/C71)</f>
        <v>0.00187081845045166</v>
      </c>
      <c r="D75" s="58" t="n">
        <f aca="false">IF(D71=0,"",(D72-D71)/D71)</f>
        <v>-0.00118771123217613</v>
      </c>
      <c r="E75" s="58" t="n">
        <f aca="false">IF(E71=0,"",(E72-E71)/E71)</f>
        <v>-0.00785262961329664</v>
      </c>
      <c r="F75" s="58" t="n">
        <f aca="false">IF(F71=0,"",(F72-F71)/F71)</f>
        <v>-0.0119758417093024</v>
      </c>
    </row>
    <row r="76" customFormat="false" ht="15" hidden="false" customHeight="true" outlineLevel="0" collapsed="false">
      <c r="A76" s="3" t="s">
        <v>235</v>
      </c>
      <c r="B76" s="58" t="n">
        <f aca="false">IF(B71=0,"",B73/B71)</f>
        <v>0.0164571428571429</v>
      </c>
      <c r="C76" s="58" t="n">
        <f aca="false">IF(C71=0,"",C73/C71)</f>
        <v>0.0162909090909091</v>
      </c>
      <c r="D76" s="58" t="n">
        <f aca="false">IF(D71=0,"",D73/D71)</f>
        <v>0.016128</v>
      </c>
      <c r="E76" s="58" t="n">
        <f aca="false">IF(E71=0,"",E73/E71)</f>
        <v>0.0159683168316832</v>
      </c>
      <c r="F76" s="58" t="n">
        <f aca="false">IF(F71=0,"",F73/F71)</f>
        <v>0.0158117647058824</v>
      </c>
    </row>
    <row r="77" customFormat="false" ht="15" hidden="false" customHeight="true" outlineLevel="0" collapsed="false">
      <c r="A77" s="5" t="s">
        <v>236</v>
      </c>
      <c r="B77" s="6"/>
      <c r="C77" s="6"/>
      <c r="D77" s="6"/>
      <c r="E77" s="6"/>
      <c r="F77" s="6"/>
      <c r="G77" s="6"/>
      <c r="H77" s="6"/>
    </row>
    <row r="78" customFormat="false" ht="15" hidden="false" customHeight="true" outlineLevel="0" collapsed="false">
      <c r="A78" s="11" t="s">
        <v>237</v>
      </c>
    </row>
    <row r="79" customFormat="false" ht="15" hidden="false" customHeight="true" outlineLevel="0" collapsed="false">
      <c r="A79" s="7" t="s">
        <v>238</v>
      </c>
      <c r="B79" s="20" t="n">
        <f aca="false">B59</f>
        <v>24.5</v>
      </c>
    </row>
    <row r="80" customFormat="false" ht="15" hidden="false" customHeight="true" outlineLevel="0" collapsed="false">
      <c r="A80" s="7" t="s">
        <v>239</v>
      </c>
      <c r="B80" s="20" t="n">
        <f aca="false">F67</f>
        <v>25.1946160364128</v>
      </c>
    </row>
    <row r="81" customFormat="false" ht="15" hidden="false" customHeight="true" outlineLevel="0" collapsed="false">
      <c r="A81" s="7" t="s">
        <v>240</v>
      </c>
      <c r="B81" s="20" t="n">
        <f aca="false">SUM(B73:F73)</f>
        <v>2.016</v>
      </c>
      <c r="C81" s="12" t="n">
        <f aca="false">C52</f>
        <v>43178.8862363077</v>
      </c>
      <c r="D81" s="12" t="n">
        <f aca="false">D52</f>
        <v>47059.0305242015</v>
      </c>
      <c r="E81" s="12" t="n">
        <f aca="false">E52</f>
        <v>53611.8382460831</v>
      </c>
      <c r="F81" s="12" t="n">
        <f aca="false">F52</f>
        <v>59910.0156334656</v>
      </c>
    </row>
    <row r="82" customFormat="false" ht="15" hidden="false" customHeight="true" outlineLevel="0" collapsed="false">
      <c r="A82" s="7" t="s">
        <v>241</v>
      </c>
      <c r="B82" s="20" t="n">
        <f aca="false">B80-B79+B81</f>
        <v>2.71061603641279</v>
      </c>
      <c r="C82" s="12" t="n">
        <f aca="false">C28</f>
        <v>300000</v>
      </c>
      <c r="D82" s="12" t="n">
        <f aca="false">D28</f>
        <v>275000</v>
      </c>
      <c r="E82" s="12" t="n">
        <f aca="false">E28</f>
        <v>250000</v>
      </c>
      <c r="F82" s="12" t="n">
        <f aca="false">F28</f>
        <v>225000</v>
      </c>
    </row>
    <row r="83" customFormat="false" ht="15" hidden="false" customHeight="true" outlineLevel="0" collapsed="false">
      <c r="A83" s="11" t="s">
        <v>242</v>
      </c>
      <c r="B83" s="29" t="n">
        <f aca="false">IF(B79=0,"",(B80+B81)/B79-1)</f>
        <v>0.110637389241338</v>
      </c>
      <c r="C83" s="21" t="n">
        <f aca="false">C81+C82</f>
        <v>343178.886236308</v>
      </c>
      <c r="D83" s="21" t="n">
        <f aca="false">D81+D82</f>
        <v>322059.030524201</v>
      </c>
      <c r="E83" s="21" t="n">
        <f aca="false">E81+E82</f>
        <v>303611.838246083</v>
      </c>
      <c r="F83" s="21" t="n">
        <f aca="false">F81+F82</f>
        <v>284910.015633466</v>
      </c>
    </row>
    <row r="84" customFormat="false" ht="15" hidden="false" customHeight="true" outlineLevel="0" collapsed="false">
      <c r="A84" s="11" t="s">
        <v>243</v>
      </c>
      <c r="B84" s="29" t="n">
        <f aca="false">IF(B79=0,"",((B80+B81)/B79)^(1/5)-1)</f>
        <v>0.0212085869262406</v>
      </c>
    </row>
    <row r="85" customFormat="false" ht="15" hidden="false" customHeight="true" outlineLevel="0" collapsed="false">
      <c r="A85" s="11" t="s">
        <v>244</v>
      </c>
    </row>
    <row r="86" customFormat="false" ht="15" hidden="false" customHeight="true" outlineLevel="0" collapsed="false">
      <c r="A86" s="7" t="s">
        <v>245</v>
      </c>
      <c r="B86" s="12" t="n">
        <f aca="false">B53</f>
        <v>-36576.6288</v>
      </c>
      <c r="C86" s="12" t="n">
        <f aca="false">C53</f>
        <v>-37856.810808</v>
      </c>
      <c r="D86" s="12" t="n">
        <f aca="false">D53</f>
        <v>-39181.79918628</v>
      </c>
      <c r="E86" s="12" t="n">
        <f aca="false">E53</f>
        <v>-40357.2531618684</v>
      </c>
      <c r="F86" s="12" t="n">
        <f aca="false">F53</f>
        <v>-41567.9707567245</v>
      </c>
    </row>
    <row r="87" customFormat="false" ht="15" hidden="false" customHeight="true" outlineLevel="0" collapsed="false">
      <c r="A87" s="7" t="s">
        <v>246</v>
      </c>
      <c r="B87" s="12" t="n">
        <f aca="false">B55*(1-B26)</f>
        <v>-31336.7281072128</v>
      </c>
      <c r="C87" s="12" t="n">
        <f aca="false">C55*(1-C26)</f>
        <v>-31346.386903282</v>
      </c>
      <c r="D87" s="12" t="n">
        <f aca="false">D55*(1-D26)</f>
        <v>-31197.5985116859</v>
      </c>
      <c r="E87" s="12" t="n">
        <f aca="false">E55*(1-E26)</f>
        <v>-31050.4962632798</v>
      </c>
      <c r="F87" s="12" t="n">
        <f aca="false">F55*(1-F26)</f>
        <v>-30901.5873554879</v>
      </c>
    </row>
    <row r="88" customFormat="false" ht="15" hidden="false" customHeight="true" outlineLevel="0" collapsed="false">
      <c r="A88" s="7" t="s">
        <v>247</v>
      </c>
      <c r="B88" s="12" t="n">
        <f aca="false">B29</f>
        <v>-380000</v>
      </c>
      <c r="C88" s="12" t="n">
        <f aca="false">C29</f>
        <v>-400000</v>
      </c>
      <c r="D88" s="12" t="n">
        <f aca="false">D29</f>
        <v>-400000</v>
      </c>
      <c r="E88" s="12" t="n">
        <f aca="false">E29</f>
        <v>-375000</v>
      </c>
      <c r="F88" s="12" t="n">
        <f aca="false">F29</f>
        <v>-350000</v>
      </c>
    </row>
    <row r="89" customFormat="false" ht="15" hidden="false" customHeight="true" outlineLevel="0" collapsed="false">
      <c r="A89" s="7" t="s">
        <v>248</v>
      </c>
      <c r="B89" s="53" t="n">
        <v>-65000</v>
      </c>
      <c r="C89" s="53" t="n">
        <v>-65000</v>
      </c>
      <c r="D89" s="53" t="n">
        <v>-65000</v>
      </c>
      <c r="E89" s="53" t="n">
        <v>-65000</v>
      </c>
      <c r="F89" s="53" t="n">
        <v>-65000</v>
      </c>
    </row>
    <row r="90" customFormat="false" ht="15" hidden="false" customHeight="true" outlineLevel="0" collapsed="false">
      <c r="A90" s="11" t="s">
        <v>249</v>
      </c>
      <c r="B90" s="21" t="n">
        <f aca="false">SUM(B86:B89)</f>
        <v>-512913.356907213</v>
      </c>
      <c r="C90" s="21" t="n">
        <f aca="false">SUM(C86:C89)</f>
        <v>-534203.197711282</v>
      </c>
      <c r="D90" s="21" t="n">
        <f aca="false">SUM(D86:D89)</f>
        <v>-535379.397697966</v>
      </c>
      <c r="E90" s="21" t="n">
        <f aca="false">SUM(E86:E89)</f>
        <v>-511407.749425148</v>
      </c>
      <c r="F90" s="21" t="n">
        <f aca="false">SUM(F86:F89)</f>
        <v>-487469.558112212</v>
      </c>
    </row>
    <row r="92" customFormat="false" ht="15" hidden="false" customHeight="true" outlineLevel="0" collapsed="false">
      <c r="A92" s="59" t="s">
        <v>250</v>
      </c>
      <c r="B92" s="26" t="n">
        <f aca="false">B83+B90</f>
        <v>-512913.246269824</v>
      </c>
      <c r="C92" s="26" t="n">
        <f aca="false">C83+C90</f>
        <v>-191024.311474974</v>
      </c>
      <c r="D92" s="26" t="n">
        <f aca="false">D83+D90</f>
        <v>-213320.367173764</v>
      </c>
      <c r="E92" s="26" t="n">
        <f aca="false">E83+E90</f>
        <v>-207795.911179065</v>
      </c>
      <c r="F92" s="26" t="n">
        <f aca="false">F83+F90</f>
        <v>-202559.542478747</v>
      </c>
    </row>
    <row r="93" customFormat="false" ht="15" hidden="false" customHeight="true" outlineLevel="0" collapsed="false">
      <c r="A93" s="7" t="s">
        <v>251</v>
      </c>
      <c r="B93" s="12" t="n">
        <f aca="false">B92</f>
        <v>-512913.246269824</v>
      </c>
      <c r="C93" s="12" t="n">
        <f aca="false">B93+C92</f>
        <v>-703937.557744798</v>
      </c>
      <c r="D93" s="12" t="n">
        <f aca="false">C93+D92</f>
        <v>-917257.924918562</v>
      </c>
      <c r="E93" s="12" t="n">
        <f aca="false">D93+E92</f>
        <v>-1125053.83609763</v>
      </c>
      <c r="F93" s="12" t="n">
        <f aca="false">E93+F92</f>
        <v>-1327613.37857637</v>
      </c>
    </row>
    <row r="95" customFormat="false" ht="15" hidden="false" customHeight="true" outlineLevel="0" collapsed="false">
      <c r="A95" s="11" t="s">
        <v>252</v>
      </c>
    </row>
    <row r="96" customFormat="false" ht="15" hidden="false" customHeight="true" outlineLevel="0" collapsed="false">
      <c r="A96" s="7" t="s">
        <v>253</v>
      </c>
      <c r="B96" s="53" t="n">
        <v>65000</v>
      </c>
      <c r="C96" s="53" t="n">
        <v>65000</v>
      </c>
      <c r="D96" s="53" t="n">
        <v>65000</v>
      </c>
      <c r="E96" s="53" t="n">
        <v>65000</v>
      </c>
      <c r="F96" s="53" t="n">
        <v>65000</v>
      </c>
    </row>
    <row r="97" customFormat="false" ht="15" hidden="false" customHeight="true" outlineLevel="0" collapsed="false">
      <c r="A97" s="7" t="s">
        <v>254</v>
      </c>
      <c r="B97" s="12" t="n">
        <f aca="false">-B92-B96</f>
        <v>447913.246269824</v>
      </c>
      <c r="C97" s="12" t="n">
        <f aca="false">-C92-C96</f>
        <v>126024.311474974</v>
      </c>
      <c r="D97" s="12" t="n">
        <f aca="false">-D92-D96</f>
        <v>148320.367173764</v>
      </c>
      <c r="E97" s="12" t="n">
        <f aca="false">-E92-E96</f>
        <v>142795.911179065</v>
      </c>
      <c r="F97" s="12" t="n">
        <f aca="false">-F92-F96</f>
        <v>137559.542478747</v>
      </c>
    </row>
    <row r="98" customFormat="false" ht="15" hidden="false" customHeight="true" outlineLevel="0" collapsed="false">
      <c r="A98" s="11" t="s">
        <v>255</v>
      </c>
      <c r="B98" s="12" t="n">
        <f aca="false">182000+B97</f>
        <v>629913.246269824</v>
      </c>
      <c r="C98" s="26" t="n">
        <f aca="false">B98+C97</f>
        <v>755937.557744798</v>
      </c>
      <c r="D98" s="26" t="n">
        <f aca="false">C98+D97</f>
        <v>904257.924918562</v>
      </c>
      <c r="E98" s="26" t="n">
        <f aca="false">D98+E97</f>
        <v>1047053.83609763</v>
      </c>
      <c r="F98" s="26" t="n">
        <f aca="false">E98+F97</f>
        <v>1184613.37857637</v>
      </c>
    </row>
    <row r="99" customFormat="false" ht="15" hidden="false" customHeight="true" outlineLevel="0" collapsed="false">
      <c r="A99" s="7" t="s">
        <v>256</v>
      </c>
      <c r="B99" s="49" t="n">
        <v>300000</v>
      </c>
      <c r="C99" s="49" t="n">
        <v>300000</v>
      </c>
      <c r="D99" s="49" t="n">
        <v>300000</v>
      </c>
      <c r="E99" s="49" t="n">
        <v>300000</v>
      </c>
      <c r="F99" s="49" t="n">
        <v>300000</v>
      </c>
    </row>
    <row r="100" customFormat="false" ht="15" hidden="false" customHeight="true" outlineLevel="0" collapsed="false">
      <c r="A100" s="11" t="s">
        <v>257</v>
      </c>
      <c r="B100" s="26" t="n">
        <f aca="false">B99-B98</f>
        <v>-329913.246269824</v>
      </c>
      <c r="C100" s="26" t="n">
        <f aca="false">C99-C98</f>
        <v>-455937.557744798</v>
      </c>
      <c r="D100" s="26" t="n">
        <f aca="false">D99-D98</f>
        <v>-604257.924918562</v>
      </c>
      <c r="E100" s="26" t="n">
        <f aca="false">E99-E98</f>
        <v>-747053.836097627</v>
      </c>
      <c r="F100" s="26" t="n">
        <f aca="false">F99-F98</f>
        <v>-884613.378576374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false" showRowColHeaders="true" showZeros="true" rightToLeft="false" tabSelected="false" showOutlineSymbols="true" defaultGridColor="true" view="normal" topLeftCell="A23" colorId="64" zoomScale="142" zoomScaleNormal="142" zoomScalePageLayoutView="100" workbookViewId="0">
      <selection pane="topLeft" activeCell="A49" activeCellId="0" sqref="A49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258</v>
      </c>
    </row>
    <row r="2" customFormat="false" ht="15" hidden="false" customHeight="true" outlineLevel="0" collapsed="false">
      <c r="A2" s="3" t="s">
        <v>259</v>
      </c>
    </row>
    <row r="3" customFormat="false" ht="15" hidden="false" customHeight="true" outlineLevel="0" collapsed="false">
      <c r="A3" s="3" t="s">
        <v>260</v>
      </c>
    </row>
    <row r="4" customFormat="false" ht="15" hidden="false" customHeight="true" outlineLevel="0" collapsed="false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60" t="s">
        <v>261</v>
      </c>
    </row>
    <row r="6" customFormat="false" ht="15" hidden="false" customHeight="true" outlineLevel="0" collapsed="false">
      <c r="A6" s="5" t="s">
        <v>262</v>
      </c>
      <c r="B6" s="6"/>
      <c r="C6" s="6"/>
      <c r="D6" s="6"/>
      <c r="E6" s="6"/>
      <c r="F6" s="6"/>
      <c r="G6" s="6"/>
      <c r="H6" s="6"/>
    </row>
    <row r="7" customFormat="false" ht="15" hidden="false" customHeight="true" outlineLevel="0" collapsed="false">
      <c r="A7" s="7" t="s">
        <v>50</v>
      </c>
      <c r="B7" s="53" t="n">
        <v>1808604</v>
      </c>
      <c r="C7" s="53" t="n">
        <v>2445550</v>
      </c>
      <c r="D7" s="53" t="n">
        <v>3110516</v>
      </c>
      <c r="E7" s="53" t="n">
        <v>5106772</v>
      </c>
      <c r="F7" s="53" t="n">
        <v>5795044</v>
      </c>
      <c r="G7" s="53" t="n">
        <v>6282124</v>
      </c>
      <c r="H7" s="53" t="n">
        <v>6492428</v>
      </c>
    </row>
    <row r="8" customFormat="false" ht="15" hidden="false" customHeight="true" outlineLevel="0" collapsed="false">
      <c r="A8" s="7" t="s">
        <v>263</v>
      </c>
      <c r="B8" s="53" t="n">
        <v>14500</v>
      </c>
      <c r="C8" s="53" t="n">
        <v>0</v>
      </c>
      <c r="H8" s="53" t="n">
        <v>0</v>
      </c>
    </row>
    <row r="9" customFormat="false" ht="15" hidden="false" customHeight="true" outlineLevel="0" collapsed="false">
      <c r="A9" s="7" t="s">
        <v>51</v>
      </c>
      <c r="B9" s="53" t="n">
        <v>170521</v>
      </c>
      <c r="C9" s="53" t="n">
        <v>217539</v>
      </c>
      <c r="D9" s="53" t="n">
        <v>341428</v>
      </c>
      <c r="E9" s="53" t="n">
        <v>311312</v>
      </c>
      <c r="F9" s="53" t="n">
        <v>352599</v>
      </c>
      <c r="G9" s="53" t="n">
        <v>405374</v>
      </c>
      <c r="H9" s="53" t="n">
        <v>392675</v>
      </c>
    </row>
    <row r="10" customFormat="false" ht="15" hidden="false" customHeight="true" outlineLevel="0" collapsed="false">
      <c r="A10" s="7" t="s">
        <v>264</v>
      </c>
      <c r="B10" s="53" t="n">
        <v>127550</v>
      </c>
      <c r="C10" s="53" t="n">
        <v>112968</v>
      </c>
      <c r="D10" s="53" t="n">
        <v>110972</v>
      </c>
      <c r="E10" s="53" t="n">
        <v>37387</v>
      </c>
      <c r="F10" s="53" t="n">
        <v>39603</v>
      </c>
      <c r="G10" s="53" t="n">
        <v>21169</v>
      </c>
      <c r="H10" s="53" t="n">
        <v>19356</v>
      </c>
    </row>
    <row r="11" customFormat="false" ht="15" hidden="false" customHeight="true" outlineLevel="0" collapsed="false">
      <c r="A11" s="7" t="s">
        <v>265</v>
      </c>
      <c r="B11" s="53" t="n">
        <v>454725</v>
      </c>
      <c r="C11" s="53" t="n">
        <v>315737</v>
      </c>
      <c r="D11" s="53" t="n">
        <v>143887</v>
      </c>
      <c r="E11" s="53" t="n">
        <v>120599</v>
      </c>
      <c r="F11" s="53" t="n">
        <v>222484</v>
      </c>
      <c r="G11" s="53" t="n">
        <v>118021</v>
      </c>
      <c r="H11" s="53" t="n">
        <v>94134</v>
      </c>
    </row>
    <row r="12" customFormat="false" ht="15" hidden="false" customHeight="true" outlineLevel="0" collapsed="false">
      <c r="A12" s="7" t="s">
        <v>266</v>
      </c>
      <c r="B12" s="53" t="n">
        <v>42583</v>
      </c>
      <c r="C12" s="53" t="n">
        <v>63171</v>
      </c>
      <c r="D12" s="53" t="n">
        <v>110497</v>
      </c>
      <c r="E12" s="53" t="n">
        <v>104532</v>
      </c>
      <c r="F12" s="53" t="n">
        <v>153187</v>
      </c>
      <c r="G12" s="53" t="n">
        <v>161348</v>
      </c>
      <c r="H12" s="53" t="n">
        <v>169881</v>
      </c>
    </row>
    <row r="13" customFormat="false" ht="15" hidden="false" customHeight="true" outlineLevel="0" collapsed="false">
      <c r="A13" s="7" t="s">
        <v>267</v>
      </c>
      <c r="B13" s="53" t="n">
        <v>13617</v>
      </c>
      <c r="C13" s="53" t="n">
        <v>8563</v>
      </c>
      <c r="D13" s="53" t="n">
        <v>10395</v>
      </c>
      <c r="E13" s="53" t="n">
        <v>3511</v>
      </c>
      <c r="F13" s="53" t="n">
        <v>7702</v>
      </c>
      <c r="G13" s="53" t="n">
        <v>32266</v>
      </c>
      <c r="H13" s="53" t="n">
        <v>7489</v>
      </c>
    </row>
    <row r="14" customFormat="false" ht="15" hidden="false" customHeight="true" outlineLevel="0" collapsed="false">
      <c r="A14" s="7" t="s">
        <v>268</v>
      </c>
      <c r="B14" s="53" t="n">
        <v>70555</v>
      </c>
      <c r="C14" s="53" t="n">
        <v>141529</v>
      </c>
      <c r="D14" s="53" t="n">
        <v>245611</v>
      </c>
      <c r="E14" s="53" t="n">
        <v>37334</v>
      </c>
      <c r="F14" s="53" t="n">
        <v>23579</v>
      </c>
      <c r="G14" s="53" t="n">
        <v>28606</v>
      </c>
      <c r="H14" s="53" t="n">
        <v>41454</v>
      </c>
    </row>
    <row r="15" customFormat="false" ht="15" hidden="false" customHeight="true" outlineLevel="0" collapsed="false">
      <c r="A15" s="11" t="s">
        <v>52</v>
      </c>
      <c r="B15" s="21" t="n">
        <f aca="false">SUM(B7:B14)</f>
        <v>2702655</v>
      </c>
      <c r="C15" s="21" t="n">
        <f aca="false">SUM(C7:C14)</f>
        <v>3305057</v>
      </c>
      <c r="D15" s="21" t="n">
        <f aca="false">SUM(D7:D14)</f>
        <v>4073306</v>
      </c>
      <c r="E15" s="21" t="n">
        <f aca="false">SUM(E7:E14)</f>
        <v>5721447</v>
      </c>
      <c r="F15" s="21" t="n">
        <f aca="false">SUM(F7:F14)</f>
        <v>6594198</v>
      </c>
      <c r="G15" s="21" t="n">
        <f aca="false">SUM(G7:G14)</f>
        <v>7048908</v>
      </c>
      <c r="H15" s="12" t="n">
        <f aca="false">SUM(H7:H14)</f>
        <v>7217417</v>
      </c>
    </row>
    <row r="16" customFormat="false" ht="15" hidden="false" customHeight="true" outlineLevel="0" collapsed="false">
      <c r="A16" s="3" t="s">
        <v>269</v>
      </c>
      <c r="B16" s="49" t="n">
        <v>2702655</v>
      </c>
      <c r="C16" s="49" t="n">
        <v>3305057</v>
      </c>
      <c r="D16" s="49" t="n">
        <v>4073306</v>
      </c>
      <c r="E16" s="49" t="n">
        <v>5721447</v>
      </c>
      <c r="F16" s="49" t="n">
        <v>6594198</v>
      </c>
      <c r="G16" s="49" t="n">
        <v>7048908</v>
      </c>
      <c r="H16" s="53" t="n">
        <v>7217417</v>
      </c>
    </row>
    <row r="17" customFormat="false" ht="15" hidden="false" customHeight="true" outlineLevel="0" collapsed="false">
      <c r="A17" s="3" t="s">
        <v>270</v>
      </c>
      <c r="B17" s="61" t="n">
        <f aca="false">B15-B16</f>
        <v>0</v>
      </c>
      <c r="C17" s="61" t="n">
        <f aca="false">C15-C16</f>
        <v>0</v>
      </c>
      <c r="D17" s="61" t="n">
        <f aca="false">D15-D16</f>
        <v>0</v>
      </c>
      <c r="E17" s="61" t="n">
        <f aca="false">E15-E16</f>
        <v>0</v>
      </c>
      <c r="F17" s="61" t="n">
        <f aca="false">F15-F16</f>
        <v>0</v>
      </c>
      <c r="G17" s="61" t="n">
        <f aca="false">G15-G16</f>
        <v>0</v>
      </c>
      <c r="H17" s="62" t="n">
        <f aca="false">H15-H16</f>
        <v>0</v>
      </c>
    </row>
    <row r="19" customFormat="false" ht="15" hidden="false" customHeight="true" outlineLevel="0" collapsed="false">
      <c r="A19" s="5" t="s">
        <v>271</v>
      </c>
      <c r="B19" s="6"/>
      <c r="C19" s="6"/>
      <c r="D19" s="6"/>
      <c r="E19" s="6"/>
      <c r="F19" s="6"/>
      <c r="G19" s="6"/>
      <c r="H19" s="6"/>
    </row>
    <row r="20" customFormat="false" ht="15" hidden="false" customHeight="true" outlineLevel="0" collapsed="false">
      <c r="A20" s="7" t="s">
        <v>272</v>
      </c>
      <c r="B20" s="53" t="n">
        <v>737678</v>
      </c>
      <c r="C20" s="53" t="n">
        <v>1183108</v>
      </c>
      <c r="D20" s="53" t="n">
        <v>1578261</v>
      </c>
      <c r="E20" s="53" t="n">
        <v>2612857</v>
      </c>
      <c r="F20" s="53" t="n">
        <v>3155355</v>
      </c>
      <c r="G20" s="53" t="n">
        <v>3269635</v>
      </c>
      <c r="H20" s="53" t="n">
        <v>3427428</v>
      </c>
    </row>
    <row r="21" customFormat="false" ht="15" hidden="false" customHeight="true" outlineLevel="0" collapsed="false">
      <c r="A21" s="7" t="s">
        <v>273</v>
      </c>
      <c r="B21" s="53" t="n">
        <v>25916</v>
      </c>
      <c r="C21" s="53" t="n">
        <v>30618</v>
      </c>
      <c r="D21" s="53" t="n">
        <v>34454</v>
      </c>
      <c r="E21" s="53" t="n">
        <v>44282</v>
      </c>
      <c r="F21" s="53" t="n">
        <v>70110</v>
      </c>
      <c r="G21" s="53" t="n">
        <v>132466</v>
      </c>
      <c r="H21" s="53" t="n">
        <v>118387</v>
      </c>
    </row>
    <row r="22" customFormat="false" ht="15" hidden="false" customHeight="true" outlineLevel="0" collapsed="false">
      <c r="A22" s="7" t="s">
        <v>274</v>
      </c>
      <c r="B22" s="53" t="n">
        <v>13617</v>
      </c>
      <c r="C22" s="53" t="n">
        <v>8563</v>
      </c>
      <c r="D22" s="53" t="n">
        <v>10395</v>
      </c>
      <c r="E22" s="53" t="n">
        <v>3511</v>
      </c>
      <c r="F22" s="53" t="n">
        <v>7702</v>
      </c>
      <c r="G22" s="53" t="n">
        <v>32266</v>
      </c>
      <c r="H22" s="53" t="n">
        <v>7489</v>
      </c>
    </row>
    <row r="23" customFormat="false" ht="15" hidden="false" customHeight="true" outlineLevel="0" collapsed="false">
      <c r="A23" s="7" t="s">
        <v>275</v>
      </c>
      <c r="B23" s="53" t="n">
        <v>4108</v>
      </c>
      <c r="C23" s="53" t="n">
        <v>6610</v>
      </c>
      <c r="D23" s="53" t="n">
        <v>19121</v>
      </c>
      <c r="E23" s="53" t="n">
        <v>13391</v>
      </c>
      <c r="F23" s="53" t="n">
        <v>4803</v>
      </c>
      <c r="G23" s="53" t="n">
        <v>3775</v>
      </c>
      <c r="H23" s="53" t="n">
        <v>4102</v>
      </c>
    </row>
    <row r="24" customFormat="false" ht="15" hidden="false" customHeight="true" outlineLevel="0" collapsed="false">
      <c r="A24" s="7" t="s">
        <v>276</v>
      </c>
      <c r="B24" s="53" t="n">
        <v>28520</v>
      </c>
      <c r="C24" s="53" t="n">
        <v>6681</v>
      </c>
      <c r="D24" s="53" t="n">
        <v>0</v>
      </c>
      <c r="E24" s="53" t="n">
        <v>0</v>
      </c>
      <c r="F24" s="53" t="n">
        <v>0</v>
      </c>
      <c r="G24" s="53" t="n">
        <v>0</v>
      </c>
      <c r="H24" s="53" t="n">
        <v>0</v>
      </c>
    </row>
    <row r="25" customFormat="false" ht="15" hidden="false" customHeight="true" outlineLevel="0" collapsed="false">
      <c r="A25" s="7" t="s">
        <v>277</v>
      </c>
      <c r="B25" s="53" t="n">
        <v>0</v>
      </c>
      <c r="C25" s="53" t="n">
        <v>0</v>
      </c>
      <c r="D25" s="53" t="n">
        <v>5264</v>
      </c>
      <c r="E25" s="53" t="n">
        <v>9326</v>
      </c>
      <c r="F25" s="53" t="n">
        <v>0</v>
      </c>
      <c r="G25" s="53" t="n">
        <v>0</v>
      </c>
      <c r="H25" s="53" t="n">
        <v>0</v>
      </c>
    </row>
    <row r="26" customFormat="false" ht="15" hidden="false" customHeight="true" outlineLevel="0" collapsed="false">
      <c r="A26" s="11" t="s">
        <v>278</v>
      </c>
      <c r="B26" s="21" t="n">
        <f aca="false">SUM(B20:B25)</f>
        <v>809839</v>
      </c>
      <c r="C26" s="21" t="n">
        <f aca="false">SUM(C20:C25)</f>
        <v>1235580</v>
      </c>
      <c r="D26" s="21" t="n">
        <f aca="false">SUM(D20:D25)</f>
        <v>1647495</v>
      </c>
      <c r="E26" s="21" t="n">
        <f aca="false">SUM(E20:E25)</f>
        <v>2683367</v>
      </c>
      <c r="F26" s="21" t="n">
        <f aca="false">SUM(F20:F25)</f>
        <v>3237970</v>
      </c>
      <c r="G26" s="21" t="n">
        <f aca="false">SUM(G20:G25)</f>
        <v>3438142</v>
      </c>
      <c r="H26" s="12" t="n">
        <f aca="false">SUM(H20:H25)</f>
        <v>3557406</v>
      </c>
    </row>
    <row r="27" customFormat="false" ht="15" hidden="false" customHeight="true" outlineLevel="0" collapsed="false">
      <c r="A27" s="3" t="s">
        <v>269</v>
      </c>
      <c r="B27" s="49" t="n">
        <v>809839</v>
      </c>
      <c r="C27" s="49" t="n">
        <v>1235580</v>
      </c>
      <c r="D27" s="49" t="n">
        <v>1647495</v>
      </c>
      <c r="E27" s="49" t="n">
        <v>2683367</v>
      </c>
      <c r="F27" s="49" t="n">
        <v>3237970</v>
      </c>
      <c r="G27" s="49" t="n">
        <v>3438142</v>
      </c>
      <c r="H27" s="53" t="n">
        <v>3557406</v>
      </c>
    </row>
    <row r="28" customFormat="false" ht="15" hidden="false" customHeight="true" outlineLevel="0" collapsed="false">
      <c r="A28" s="3" t="s">
        <v>270</v>
      </c>
      <c r="B28" s="61" t="n">
        <f aca="false">B26-B27</f>
        <v>0</v>
      </c>
      <c r="C28" s="61" t="n">
        <f aca="false">C26-C27</f>
        <v>0</v>
      </c>
      <c r="D28" s="61" t="n">
        <f aca="false">D26-D27</f>
        <v>0</v>
      </c>
      <c r="E28" s="61" t="n">
        <f aca="false">E26-E27</f>
        <v>0</v>
      </c>
      <c r="F28" s="61" t="n">
        <f aca="false">F26-F27</f>
        <v>0</v>
      </c>
      <c r="G28" s="61" t="n">
        <f aca="false">G26-G27</f>
        <v>0</v>
      </c>
      <c r="H28" s="62" t="n">
        <f aca="false">H26-H27</f>
        <v>0</v>
      </c>
    </row>
    <row r="29" customFormat="false" ht="15" hidden="false" customHeight="true" outlineLevel="0" collapsed="false"/>
    <row r="30" customFormat="false" ht="15" hidden="false" customHeight="true" outlineLevel="0" collapsed="false">
      <c r="A30" s="5" t="s">
        <v>279</v>
      </c>
      <c r="B30" s="6"/>
      <c r="C30" s="6"/>
      <c r="D30" s="6"/>
      <c r="E30" s="6"/>
      <c r="F30" s="6"/>
      <c r="G30" s="6"/>
      <c r="H30" s="6"/>
    </row>
    <row r="31" customFormat="false" ht="15" hidden="false" customHeight="true" outlineLevel="0" collapsed="false">
      <c r="A31" s="11" t="s">
        <v>280</v>
      </c>
      <c r="B31" s="21" t="n">
        <f aca="false">B15-B26</f>
        <v>1892816</v>
      </c>
      <c r="C31" s="21" t="n">
        <f aca="false">C15-C26</f>
        <v>2069477</v>
      </c>
      <c r="D31" s="21" t="n">
        <f aca="false">D15-D26</f>
        <v>2425811</v>
      </c>
      <c r="E31" s="21" t="n">
        <f aca="false">E15-E26</f>
        <v>3038080</v>
      </c>
      <c r="F31" s="21" t="n">
        <f aca="false">F15-F26</f>
        <v>3356228</v>
      </c>
      <c r="G31" s="21" t="n">
        <f aca="false">G15-G26</f>
        <v>3610766</v>
      </c>
      <c r="H31" s="12" t="n">
        <f aca="false">H15-H26</f>
        <v>3660011</v>
      </c>
    </row>
    <row r="32" customFormat="false" ht="15" hidden="false" customHeight="true" outlineLevel="0" collapsed="false">
      <c r="A32" s="3" t="s">
        <v>269</v>
      </c>
      <c r="B32" s="49" t="n">
        <v>1892816</v>
      </c>
      <c r="C32" s="49" t="n">
        <v>2069477</v>
      </c>
      <c r="D32" s="49" t="n">
        <v>2425811</v>
      </c>
      <c r="E32" s="49" t="n">
        <v>3038080</v>
      </c>
      <c r="F32" s="49" t="n">
        <v>3356228</v>
      </c>
      <c r="G32" s="49" t="n">
        <v>3610766</v>
      </c>
      <c r="H32" s="53" t="n">
        <v>3660011</v>
      </c>
    </row>
    <row r="33" customFormat="false" ht="15" hidden="false" customHeight="true" outlineLevel="0" collapsed="false">
      <c r="A33" s="3" t="s">
        <v>270</v>
      </c>
      <c r="B33" s="61" t="n">
        <f aca="false">B31-B32</f>
        <v>0</v>
      </c>
      <c r="C33" s="61" t="n">
        <f aca="false">C31-C32</f>
        <v>0</v>
      </c>
      <c r="D33" s="61" t="n">
        <f aca="false">D31-D32</f>
        <v>0</v>
      </c>
      <c r="E33" s="61" t="n">
        <f aca="false">E31-E32</f>
        <v>0</v>
      </c>
      <c r="F33" s="61" t="n">
        <f aca="false">F31-F32</f>
        <v>0</v>
      </c>
      <c r="G33" s="61" t="n">
        <f aca="false">G31-G32</f>
        <v>0</v>
      </c>
      <c r="H33" s="62" t="n">
        <f aca="false">H31-H32</f>
        <v>0</v>
      </c>
    </row>
    <row r="34" customFormat="false" ht="15" hidden="false" customHeight="true" outlineLevel="0" collapsed="false"/>
    <row r="35" customFormat="false" ht="15" hidden="false" customHeight="true" outlineLevel="0" collapsed="false">
      <c r="A35" s="5" t="s">
        <v>281</v>
      </c>
      <c r="B35" s="6"/>
      <c r="C35" s="6"/>
      <c r="D35" s="6"/>
      <c r="E35" s="6"/>
      <c r="F35" s="6"/>
      <c r="G35" s="6"/>
      <c r="H35" s="6"/>
    </row>
    <row r="36" customFormat="false" ht="15" hidden="false" customHeight="true" outlineLevel="0" collapsed="false">
      <c r="A36" s="7" t="s">
        <v>56</v>
      </c>
      <c r="B36" s="13" t="n">
        <f aca="false">IF(B15=0,"",B20/B15)</f>
        <v>0.272945677491208</v>
      </c>
      <c r="C36" s="13" t="n">
        <f aca="false">IF(C15=0,"",C20/C15)</f>
        <v>0.357969015360401</v>
      </c>
      <c r="D36" s="13" t="n">
        <f aca="false">IF(D15=0,"",D20/D15)</f>
        <v>0.387464383967225</v>
      </c>
      <c r="E36" s="13" t="n">
        <f aca="false">IF(E15=0,"",E20/E15)</f>
        <v>0.45667765514563</v>
      </c>
      <c r="F36" s="13" t="n">
        <f aca="false">IF(F15=0,"",F20/F15)</f>
        <v>0.478504740076049</v>
      </c>
      <c r="G36" s="13" t="n">
        <f aca="false">IF(G15=0,"",G20/G15)</f>
        <v>0.46384986156721</v>
      </c>
      <c r="H36" s="13" t="n">
        <f aca="false">IF(H15=0,"",H20/H15)</f>
        <v>0.474882911712043</v>
      </c>
    </row>
    <row r="37" customFormat="false" ht="15" hidden="false" customHeight="true" outlineLevel="0" collapsed="false">
      <c r="A37" s="7" t="s">
        <v>12</v>
      </c>
      <c r="B37" s="8" t="n">
        <f aca="false">IF(IS!B150=0,"",B31/IS!B150)</f>
        <v>20.6704742767907</v>
      </c>
      <c r="C37" s="8" t="n">
        <f aca="false">IF(IS!C150=0,"",C31/IS!C150)</f>
        <v>19.8174514253976</v>
      </c>
      <c r="D37" s="8" t="n">
        <f aca="false">IF(IS!D150=0,"",D31/IS!D150)</f>
        <v>18.7228782686549</v>
      </c>
      <c r="E37" s="8" t="n">
        <f aca="false">IF(IS!E150=0,"",E31/IS!E150)</f>
        <v>19.8532285152293</v>
      </c>
      <c r="F37" s="8" t="n">
        <f aca="false">IF(IS!F150=0,"",F31/IS!F150)</f>
        <v>20.0709732205863</v>
      </c>
      <c r="G37" s="8" t="n">
        <f aca="false">IF(IS!G150=0,"",G31/IS!G150)</f>
        <v>20.4071867794005</v>
      </c>
      <c r="H37" s="8" t="n">
        <f aca="false">IF(IS!H150=0,"",H31/IS!H150)</f>
        <v>20.0952655477042</v>
      </c>
    </row>
    <row r="38" customFormat="false" ht="15" hidden="false" customHeight="true" outlineLevel="0" collapsed="false">
      <c r="A38" s="7" t="s">
        <v>11</v>
      </c>
      <c r="C38" s="53" t="n">
        <v>19.34</v>
      </c>
      <c r="D38" s="53" t="n">
        <v>20.63</v>
      </c>
      <c r="E38" s="53" t="n">
        <v>22.59</v>
      </c>
      <c r="F38" s="53" t="n">
        <v>23.18</v>
      </c>
      <c r="G38" s="53" t="n">
        <v>24.26</v>
      </c>
      <c r="H38" s="53" t="n">
        <v>24.36</v>
      </c>
    </row>
    <row r="39" customFormat="false" ht="15" hidden="false" customHeight="true" outlineLevel="0" collapsed="false">
      <c r="A39" s="7" t="s">
        <v>14</v>
      </c>
      <c r="C39" s="13" t="n">
        <f aca="false">IF(C37=0,"",C38/C37-1)</f>
        <v>-0.0240924736056501</v>
      </c>
      <c r="D39" s="13" t="n">
        <f aca="false">IF(D37=0,"",D38/D37-1)</f>
        <v>0.101860499437095</v>
      </c>
      <c r="E39" s="13" t="n">
        <f aca="false">IF(E37=0,"",E38/E37-1)</f>
        <v>0.137850198151464</v>
      </c>
      <c r="F39" s="13" t="n">
        <f aca="false">IF(F37=0,"",F38/F37-1)</f>
        <v>0.154901645537788</v>
      </c>
      <c r="G39" s="13" t="n">
        <f aca="false">IF(G37=0,"",G38/G37-1)</f>
        <v>0.188796881326566</v>
      </c>
      <c r="H39" s="13" t="n">
        <f aca="false">IF(H37=0,"",H38/H37-1)</f>
        <v>0.212225832108155</v>
      </c>
    </row>
    <row r="40" customFormat="false" ht="15" hidden="false" customHeight="true" outlineLevel="0" collapsed="false">
      <c r="A40" s="7" t="s">
        <v>282</v>
      </c>
      <c r="B40" s="21" t="n">
        <f aca="false">B20-B14</f>
        <v>667123</v>
      </c>
      <c r="C40" s="21" t="n">
        <f aca="false">C20-C14</f>
        <v>1041579</v>
      </c>
      <c r="D40" s="21" t="n">
        <f aca="false">D20-D14</f>
        <v>1332650</v>
      </c>
      <c r="E40" s="21" t="n">
        <f aca="false">E20-E14</f>
        <v>2575523</v>
      </c>
      <c r="F40" s="21" t="n">
        <f aca="false">F20-F14</f>
        <v>3131776</v>
      </c>
      <c r="G40" s="21" t="n">
        <f aca="false">G20-G14</f>
        <v>3241029</v>
      </c>
      <c r="H40" s="12" t="n">
        <f aca="false">H20-H14</f>
        <v>3385974</v>
      </c>
    </row>
    <row r="41" customFormat="false" ht="15" hidden="false" customHeight="true" outlineLevel="0" collapsed="false">
      <c r="A41" s="46" t="s">
        <v>57</v>
      </c>
      <c r="B41" s="63" t="n">
        <f aca="false">IF(IS!B155=0,"",B40/IS!B155)</f>
        <v>7.80005378355626</v>
      </c>
      <c r="C41" s="63" t="n">
        <f aca="false">IF(IS!C155=0,"",C40/IS!C155)</f>
        <v>10.6482411032847</v>
      </c>
      <c r="D41" s="63" t="n">
        <f aca="false">IF(IS!D155=0,"",D40/IS!D155)</f>
        <v>12.5001172486892</v>
      </c>
      <c r="E41" s="63" t="n">
        <f aca="false">IF(IS!E155=0,"",E40/IS!E155)</f>
        <v>18.8269225146199</v>
      </c>
      <c r="F41" s="63" t="n">
        <f aca="false">IF(IS!F155=0,"",F40/IS!F155)</f>
        <v>19.1721824303643</v>
      </c>
      <c r="G41" s="63" t="n">
        <f aca="false">IF(IS!G155=0,"",G40/IS!G155)</f>
        <v>20.6282555564042</v>
      </c>
      <c r="H41" s="63" t="n">
        <f aca="false">IF(IS!H155=0,"",H40/IS!H155)</f>
        <v>28.3188699128515</v>
      </c>
    </row>
    <row r="42" customFormat="false" ht="15" hidden="false" customHeight="true" outlineLevel="0" collapsed="false">
      <c r="A42" s="7" t="s">
        <v>58</v>
      </c>
      <c r="B42" s="64" t="n">
        <v>0.0433</v>
      </c>
      <c r="C42" s="64" t="n">
        <v>0.042</v>
      </c>
      <c r="D42" s="64" t="n">
        <v>0.0408</v>
      </c>
      <c r="E42" s="64" t="n">
        <v>0.0406</v>
      </c>
      <c r="F42" s="64" t="n">
        <v>0.0438</v>
      </c>
      <c r="G42" s="64" t="n">
        <v>0.0438</v>
      </c>
      <c r="H42" s="64" t="n">
        <v>0.0436</v>
      </c>
    </row>
    <row r="45" customFormat="false" ht="15" hidden="false" customHeight="true" outlineLevel="0" collapsed="false">
      <c r="A45" s="5" t="s">
        <v>283</v>
      </c>
      <c r="B45" s="6"/>
      <c r="C45" s="6"/>
      <c r="D45" s="6"/>
      <c r="E45" s="6"/>
      <c r="F45" s="6"/>
      <c r="G45" s="6"/>
      <c r="H45" s="6"/>
    </row>
    <row r="47" customFormat="false" ht="15" hidden="false" customHeight="true" outlineLevel="0" collapsed="false">
      <c r="A47" s="7" t="s">
        <v>284</v>
      </c>
      <c r="D47" s="53" t="n">
        <v>144201</v>
      </c>
      <c r="E47" s="53" t="n">
        <v>121596</v>
      </c>
      <c r="F47" s="53" t="n">
        <v>225315</v>
      </c>
      <c r="G47" s="53" t="n">
        <v>124982</v>
      </c>
    </row>
    <row r="48" customFormat="false" ht="15" hidden="false" customHeight="true" outlineLevel="0" collapsed="false">
      <c r="A48" s="7" t="s">
        <v>285</v>
      </c>
      <c r="D48" s="53" t="n">
        <v>-314</v>
      </c>
      <c r="E48" s="53" t="n">
        <v>-997</v>
      </c>
      <c r="F48" s="53" t="n">
        <v>-2831</v>
      </c>
      <c r="G48" s="53" t="n">
        <v>-6961</v>
      </c>
    </row>
    <row r="49" customFormat="false" ht="15" hidden="false" customHeight="true" outlineLevel="0" collapsed="false">
      <c r="A49" s="11" t="s">
        <v>286</v>
      </c>
      <c r="D49" s="21" t="n">
        <f aca="false">D47+D48</f>
        <v>143887</v>
      </c>
      <c r="E49" s="21" t="n">
        <f aca="false">E47+E48</f>
        <v>120599</v>
      </c>
      <c r="F49" s="21" t="n">
        <f aca="false">F47+F48</f>
        <v>222484</v>
      </c>
      <c r="G49" s="21" t="n">
        <f aca="false">G47+G48</f>
        <v>118021</v>
      </c>
      <c r="H49" s="12" t="n">
        <f aca="false">H47+H48</f>
        <v>0</v>
      </c>
    </row>
    <row r="51" customFormat="false" ht="15" hidden="false" customHeight="true" outlineLevel="0" collapsed="false">
      <c r="A51" s="11" t="s">
        <v>287</v>
      </c>
    </row>
    <row r="52" customFormat="false" ht="15" hidden="false" customHeight="true" outlineLevel="0" collapsed="false">
      <c r="A52" s="7" t="s">
        <v>288</v>
      </c>
      <c r="F52" s="53" t="n">
        <v>212754</v>
      </c>
      <c r="G52" s="53" t="n">
        <v>75004</v>
      </c>
    </row>
    <row r="53" customFormat="false" ht="15" hidden="false" customHeight="true" outlineLevel="0" collapsed="false">
      <c r="A53" s="7" t="s">
        <v>289</v>
      </c>
      <c r="F53" s="53" t="n">
        <v>0</v>
      </c>
      <c r="G53" s="53" t="n">
        <v>0</v>
      </c>
    </row>
    <row r="54" customFormat="false" ht="15" hidden="false" customHeight="true" outlineLevel="0" collapsed="false">
      <c r="A54" s="7" t="s">
        <v>290</v>
      </c>
      <c r="F54" s="65" t="n">
        <v>12561</v>
      </c>
      <c r="G54" s="65" t="n">
        <v>49978</v>
      </c>
    </row>
    <row r="55" customFormat="false" ht="15" hidden="false" customHeight="true" outlineLevel="0" collapsed="false">
      <c r="A55" s="7" t="s">
        <v>291</v>
      </c>
      <c r="F55" s="29" t="n">
        <f aca="false">IF(F47=0,"",F54/F47)</f>
        <v>0.0557486186006258</v>
      </c>
      <c r="G55" s="29" t="n">
        <f aca="false">IF(G47=0,"",G54/G47)</f>
        <v>0.399881582947945</v>
      </c>
      <c r="H55" s="13" t="str">
        <f aca="false">IF(H47=0,"",H54/H47)</f>
        <v/>
      </c>
    </row>
    <row r="57" customFormat="false" ht="15" hidden="false" customHeight="true" outlineLevel="0" collapsed="false">
      <c r="A57" s="7" t="s">
        <v>292</v>
      </c>
      <c r="F57" s="66" t="n">
        <v>0.84</v>
      </c>
      <c r="G57" s="66" t="n">
        <v>0.79</v>
      </c>
    </row>
    <row r="58" customFormat="false" ht="15" hidden="false" customHeight="true" outlineLevel="0" collapsed="false">
      <c r="A58" s="7" t="s">
        <v>293</v>
      </c>
      <c r="F58" s="66" t="n">
        <v>0.16</v>
      </c>
      <c r="G58" s="66" t="n">
        <v>0.21</v>
      </c>
    </row>
    <row r="59" customFormat="false" ht="15" hidden="false" customHeight="true" outlineLevel="0" collapsed="false">
      <c r="A59" s="7" t="s">
        <v>294</v>
      </c>
      <c r="F59" s="66" t="n">
        <v>0.1295</v>
      </c>
      <c r="G59" s="66" t="n">
        <v>0.1271</v>
      </c>
    </row>
    <row r="61" customFormat="false" ht="15" hidden="false" customHeight="true" outlineLevel="0" collapsed="false">
      <c r="A61" s="5" t="s">
        <v>295</v>
      </c>
      <c r="B61" s="6"/>
      <c r="C61" s="6"/>
      <c r="D61" s="6"/>
      <c r="E61" s="6"/>
      <c r="F61" s="6"/>
      <c r="G61" s="6"/>
      <c r="H61" s="6"/>
    </row>
    <row r="63" customFormat="false" ht="15" hidden="false" customHeight="true" outlineLevel="0" collapsed="false">
      <c r="A63" s="7" t="s">
        <v>296</v>
      </c>
      <c r="F63" s="53" t="n">
        <v>37387</v>
      </c>
      <c r="G63" s="53" t="n">
        <v>39603</v>
      </c>
    </row>
    <row r="64" customFormat="false" ht="15" hidden="false" customHeight="true" outlineLevel="0" collapsed="false">
      <c r="A64" s="7" t="s">
        <v>297</v>
      </c>
      <c r="F64" s="53" t="n">
        <v>10228</v>
      </c>
      <c r="G64" s="53" t="n">
        <v>2333</v>
      </c>
    </row>
    <row r="65" customFormat="false" ht="15" hidden="false" customHeight="true" outlineLevel="0" collapsed="false">
      <c r="A65" s="7" t="s">
        <v>298</v>
      </c>
      <c r="F65" s="53" t="n">
        <v>5379</v>
      </c>
      <c r="G65" s="53" t="n">
        <v>5785</v>
      </c>
    </row>
    <row r="66" customFormat="false" ht="15" hidden="false" customHeight="true" outlineLevel="0" collapsed="false">
      <c r="A66" s="7" t="s">
        <v>299</v>
      </c>
      <c r="F66" s="53" t="n">
        <v>-2520</v>
      </c>
      <c r="G66" s="53" t="n">
        <v>-9723</v>
      </c>
    </row>
    <row r="67" customFormat="false" ht="15" hidden="false" customHeight="true" outlineLevel="0" collapsed="false">
      <c r="A67" s="7" t="s">
        <v>300</v>
      </c>
      <c r="F67" s="53" t="n">
        <v>-5380</v>
      </c>
      <c r="G67" s="53" t="n">
        <v>-13455</v>
      </c>
    </row>
    <row r="68" customFormat="false" ht="15" hidden="false" customHeight="true" outlineLevel="0" collapsed="false">
      <c r="A68" s="7" t="s">
        <v>301</v>
      </c>
      <c r="F68" s="53" t="n">
        <v>-5491</v>
      </c>
      <c r="G68" s="53" t="n">
        <v>-3374</v>
      </c>
    </row>
    <row r="69" customFormat="false" ht="15" hidden="false" customHeight="true" outlineLevel="0" collapsed="false">
      <c r="A69" s="11" t="s">
        <v>302</v>
      </c>
      <c r="F69" s="67" t="n">
        <v>39603</v>
      </c>
      <c r="G69" s="67" t="n">
        <v>21169</v>
      </c>
    </row>
    <row r="70" customFormat="false" ht="15" hidden="false" customHeight="true" outlineLevel="0" collapsed="false">
      <c r="A70" s="3" t="s">
        <v>303</v>
      </c>
      <c r="F70" s="61" t="n">
        <f aca="false">F63+F64+F65+F66+F67+F68-F69</f>
        <v>0</v>
      </c>
      <c r="G70" s="61" t="n">
        <f aca="false">G63+G64+G65+G66+G67+G68-G69</f>
        <v>0</v>
      </c>
      <c r="H70" s="62" t="n">
        <f aca="false">H63+H64+H65+H66+H67+H68-H69</f>
        <v>0</v>
      </c>
    </row>
    <row r="72" customFormat="false" ht="15" hidden="false" customHeight="true" outlineLevel="0" collapsed="false">
      <c r="A72" s="11" t="s">
        <v>304</v>
      </c>
    </row>
    <row r="73" customFormat="false" ht="15" hidden="false" customHeight="true" outlineLevel="0" collapsed="false">
      <c r="A73" s="7" t="s">
        <v>305</v>
      </c>
      <c r="B73" s="53" t="n">
        <v>454725</v>
      </c>
      <c r="C73" s="53" t="n">
        <v>315737</v>
      </c>
      <c r="D73" s="53" t="n">
        <v>143887</v>
      </c>
      <c r="E73" s="53" t="n">
        <v>120599</v>
      </c>
      <c r="F73" s="53" t="n">
        <v>222484</v>
      </c>
      <c r="G73" s="53" t="n">
        <v>118021</v>
      </c>
      <c r="H73" s="68" t="n">
        <v>94134</v>
      </c>
    </row>
    <row r="74" customFormat="false" ht="15" hidden="false" customHeight="true" outlineLevel="0" collapsed="false">
      <c r="A74" s="7" t="s">
        <v>264</v>
      </c>
      <c r="B74" s="53" t="n">
        <v>127550</v>
      </c>
      <c r="C74" s="53" t="n">
        <v>112968</v>
      </c>
      <c r="D74" s="53" t="n">
        <v>110972</v>
      </c>
      <c r="E74" s="53" t="n">
        <v>37387</v>
      </c>
      <c r="F74" s="53" t="n">
        <v>39603</v>
      </c>
      <c r="G74" s="53" t="n">
        <v>21169</v>
      </c>
      <c r="H74" s="68" t="n">
        <v>19356</v>
      </c>
    </row>
    <row r="75" customFormat="false" ht="15" hidden="false" customHeight="true" outlineLevel="0" collapsed="false">
      <c r="A75" s="11" t="s">
        <v>306</v>
      </c>
      <c r="B75" s="21" t="n">
        <f aca="false">B73+B74</f>
        <v>582275</v>
      </c>
      <c r="C75" s="21" t="n">
        <f aca="false">C73+C74</f>
        <v>428705</v>
      </c>
      <c r="D75" s="21" t="n">
        <f aca="false">D73+D74</f>
        <v>254859</v>
      </c>
      <c r="E75" s="21" t="n">
        <f aca="false">E73+E74</f>
        <v>157986</v>
      </c>
      <c r="F75" s="21" t="n">
        <f aca="false">F73+F74</f>
        <v>262087</v>
      </c>
      <c r="G75" s="21" t="n">
        <f aca="false">G73+G74</f>
        <v>139190</v>
      </c>
      <c r="H75" s="12" t="n">
        <f aca="false">H73+H74</f>
        <v>113490</v>
      </c>
    </row>
    <row r="76" customFormat="false" ht="15" hidden="false" customHeight="true" outlineLevel="0" collapsed="false">
      <c r="A76" s="7" t="s">
        <v>89</v>
      </c>
      <c r="B76" s="13" t="n">
        <f aca="false">IF(B15=0,"",B75/B15)</f>
        <v>0.215445552614004</v>
      </c>
      <c r="C76" s="13" t="n">
        <f aca="false">IF(C15=0,"",C75/C15)</f>
        <v>0.129711832503948</v>
      </c>
      <c r="D76" s="13" t="n">
        <f aca="false">IF(D15=0,"",D75/D15)</f>
        <v>0.0625680957924595</v>
      </c>
      <c r="E76" s="13" t="n">
        <f aca="false">IF(E15=0,"",E75/E15)</f>
        <v>0.027612944767294</v>
      </c>
      <c r="F76" s="13" t="n">
        <f aca="false">IF(F15=0,"",F75/F15)</f>
        <v>0.0397450910633863</v>
      </c>
      <c r="G76" s="13" t="n">
        <f aca="false">IF(G15=0,"",G75/G15)</f>
        <v>0.0197463209904286</v>
      </c>
      <c r="H76" s="13" t="n">
        <f aca="false">IF(H15=0,"",H75/H15)</f>
        <v>0.0157244620894151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0"/>
  <sheetViews>
    <sheetView showFormulas="false" showGridLines="false" showRowColHeaders="true" showZeros="true" rightToLeft="false" tabSelected="false" showOutlineSymbols="true" defaultGridColor="true" view="normal" topLeftCell="A46" colorId="64" zoomScale="190" zoomScaleNormal="19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307</v>
      </c>
    </row>
    <row r="2" customFormat="false" ht="15" hidden="false" customHeight="true" outlineLevel="0" collapsed="false">
      <c r="A2" s="3" t="s">
        <v>308</v>
      </c>
    </row>
    <row r="3" customFormat="false" ht="15" hidden="false" customHeight="true" outlineLevel="0" collapsed="false">
      <c r="A3" s="3" t="s">
        <v>260</v>
      </c>
    </row>
    <row r="4" customFormat="false" ht="15" hidden="false" customHeight="true" outlineLevel="0" collapsed="false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60" t="s">
        <v>309</v>
      </c>
    </row>
    <row r="6" customFormat="false" ht="15" hidden="false" customHeight="true" outlineLevel="0" collapsed="false">
      <c r="A6" s="5" t="s">
        <v>310</v>
      </c>
      <c r="B6" s="6"/>
      <c r="C6" s="6"/>
      <c r="D6" s="6"/>
      <c r="E6" s="6"/>
      <c r="F6" s="6"/>
      <c r="G6" s="6"/>
      <c r="H6" s="6"/>
    </row>
    <row r="7" customFormat="false" ht="15" hidden="false" customHeight="true" outlineLevel="0" collapsed="false">
      <c r="A7" s="7" t="s">
        <v>25</v>
      </c>
      <c r="B7" s="53" t="n">
        <v>289107</v>
      </c>
      <c r="C7" s="53" t="n">
        <v>113725</v>
      </c>
      <c r="D7" s="53" t="n">
        <v>247025</v>
      </c>
      <c r="E7" s="53" t="n">
        <v>296441</v>
      </c>
      <c r="F7" s="53" t="n">
        <v>201275</v>
      </c>
      <c r="G7" s="53" t="n">
        <v>215325</v>
      </c>
    </row>
    <row r="8" customFormat="false" ht="15" hidden="false" customHeight="true" outlineLevel="0" collapsed="false">
      <c r="A8" s="7" t="s">
        <v>311</v>
      </c>
      <c r="B8" s="53" t="n">
        <v>-48505</v>
      </c>
      <c r="C8" s="53" t="n">
        <v>-49144</v>
      </c>
      <c r="D8" s="53" t="n">
        <v>-31802</v>
      </c>
      <c r="E8" s="53" t="n">
        <v>-19011</v>
      </c>
      <c r="F8" s="53" t="n">
        <v>-28822</v>
      </c>
      <c r="G8" s="53" t="n">
        <v>-28997</v>
      </c>
    </row>
    <row r="9" customFormat="false" ht="15" hidden="false" customHeight="true" outlineLevel="0" collapsed="false">
      <c r="A9" s="7" t="s">
        <v>312</v>
      </c>
      <c r="B9" s="53" t="n">
        <v>35814</v>
      </c>
      <c r="C9" s="53" t="n">
        <v>37770</v>
      </c>
      <c r="D9" s="53" t="n">
        <v>25654</v>
      </c>
      <c r="E9" s="53" t="n">
        <v>33149</v>
      </c>
      <c r="F9" s="53" t="n">
        <v>18338</v>
      </c>
      <c r="G9" s="53" t="n">
        <v>23739</v>
      </c>
    </row>
    <row r="10" customFormat="false" ht="15" hidden="false" customHeight="true" outlineLevel="0" collapsed="false">
      <c r="A10" s="7" t="s">
        <v>313</v>
      </c>
      <c r="B10" s="53" t="n">
        <v>479</v>
      </c>
      <c r="C10" s="53" t="n">
        <v>-4</v>
      </c>
      <c r="D10" s="53" t="n">
        <v>-1102</v>
      </c>
      <c r="E10" s="53" t="n">
        <v>683</v>
      </c>
      <c r="F10" s="53" t="n">
        <v>1834</v>
      </c>
      <c r="G10" s="53" t="n">
        <v>4130</v>
      </c>
    </row>
    <row r="11" customFormat="false" ht="15" hidden="false" customHeight="true" outlineLevel="0" collapsed="false">
      <c r="A11" s="7" t="s">
        <v>314</v>
      </c>
      <c r="B11" s="53" t="n">
        <v>-205528</v>
      </c>
      <c r="C11" s="53" t="n">
        <v>-34303</v>
      </c>
      <c r="D11" s="53" t="n">
        <v>-124727</v>
      </c>
      <c r="E11" s="53" t="n">
        <v>-217019</v>
      </c>
      <c r="F11" s="53" t="n">
        <v>-121752</v>
      </c>
      <c r="G11" s="53" t="n">
        <v>-143930</v>
      </c>
    </row>
    <row r="12" customFormat="false" ht="15" hidden="false" customHeight="true" outlineLevel="0" collapsed="false">
      <c r="A12" s="7" t="s">
        <v>315</v>
      </c>
      <c r="B12" s="53" t="n">
        <v>-24983</v>
      </c>
      <c r="C12" s="53" t="n">
        <v>-16157</v>
      </c>
      <c r="D12" s="53" t="n">
        <v>-71433</v>
      </c>
      <c r="E12" s="53" t="n">
        <v>-13244</v>
      </c>
      <c r="F12" s="53" t="n">
        <v>-14466</v>
      </c>
      <c r="G12" s="53" t="n">
        <v>-17158</v>
      </c>
    </row>
    <row r="13" customFormat="false" ht="15" hidden="false" customHeight="true" outlineLevel="0" collapsed="false">
      <c r="A13" s="7" t="s">
        <v>316</v>
      </c>
      <c r="B13" s="53" t="n">
        <v>21351</v>
      </c>
      <c r="C13" s="53" t="n">
        <v>28817</v>
      </c>
      <c r="D13" s="53" t="n">
        <v>37697</v>
      </c>
      <c r="E13" s="53" t="n">
        <v>70306</v>
      </c>
      <c r="F13" s="53" t="n">
        <v>87501</v>
      </c>
      <c r="G13" s="53" t="n">
        <v>106182</v>
      </c>
    </row>
    <row r="14" customFormat="false" ht="15" hidden="false" customHeight="true" outlineLevel="0" collapsed="false">
      <c r="A14" s="7" t="s">
        <v>317</v>
      </c>
      <c r="B14" s="53" t="n">
        <v>964</v>
      </c>
      <c r="C14" s="53" t="n">
        <v>879</v>
      </c>
      <c r="D14" s="53" t="n">
        <v>922</v>
      </c>
      <c r="E14" s="53" t="n">
        <v>867</v>
      </c>
      <c r="F14" s="53" t="n">
        <v>790</v>
      </c>
      <c r="G14" s="53" t="n">
        <v>797</v>
      </c>
    </row>
    <row r="15" customFormat="false" ht="15" hidden="false" customHeight="true" outlineLevel="0" collapsed="false">
      <c r="A15" s="7" t="s">
        <v>318</v>
      </c>
      <c r="B15" s="53" t="n">
        <v>775</v>
      </c>
      <c r="C15" s="53" t="n">
        <v>2627</v>
      </c>
      <c r="D15" s="53" t="n">
        <v>1239</v>
      </c>
      <c r="E15" s="53" t="n">
        <v>-7279</v>
      </c>
      <c r="F15" s="53" t="n">
        <v>2534</v>
      </c>
      <c r="G15" s="53" t="n">
        <v>-3282</v>
      </c>
    </row>
    <row r="16" customFormat="false" ht="15" hidden="false" customHeight="true" outlineLevel="0" collapsed="false">
      <c r="A16" s="7" t="s">
        <v>319</v>
      </c>
      <c r="B16" s="53" t="n">
        <v>4474</v>
      </c>
      <c r="C16" s="53" t="n">
        <v>3108</v>
      </c>
      <c r="D16" s="53" t="n">
        <v>16810</v>
      </c>
      <c r="E16" s="53" t="n">
        <v>1487</v>
      </c>
      <c r="F16" s="53" t="n">
        <v>-8272</v>
      </c>
      <c r="G16" s="53" t="n">
        <v>-1082</v>
      </c>
    </row>
    <row r="17" customFormat="false" ht="15" hidden="false" customHeight="true" outlineLevel="0" collapsed="false">
      <c r="A17" s="7" t="s">
        <v>320</v>
      </c>
      <c r="F17" s="53" t="n">
        <v>-11392</v>
      </c>
      <c r="G17" s="53" t="n">
        <v>-3</v>
      </c>
    </row>
    <row r="18" customFormat="false" ht="15" hidden="false" customHeight="true" outlineLevel="0" collapsed="false">
      <c r="A18" s="7" t="s">
        <v>321</v>
      </c>
      <c r="B18" s="53" t="n">
        <v>-563</v>
      </c>
      <c r="C18" s="53" t="n">
        <v>-3143</v>
      </c>
      <c r="D18" s="53" t="n">
        <v>-10902</v>
      </c>
      <c r="E18" s="53" t="n">
        <v>-3476</v>
      </c>
      <c r="F18" s="53" t="n">
        <v>-14306</v>
      </c>
      <c r="G18" s="53" t="n">
        <v>-5316</v>
      </c>
    </row>
    <row r="19" customFormat="false" ht="15" hidden="false" customHeight="true" outlineLevel="0" collapsed="false">
      <c r="A19" s="11" t="s">
        <v>322</v>
      </c>
      <c r="B19" s="21" t="n">
        <f aca="false">SUM(B7:B18)</f>
        <v>73385</v>
      </c>
      <c r="C19" s="21" t="n">
        <f aca="false">SUM(C7:C18)</f>
        <v>84175</v>
      </c>
      <c r="D19" s="21" t="n">
        <f aca="false">SUM(D7:D18)</f>
        <v>89381</v>
      </c>
      <c r="E19" s="21" t="n">
        <f aca="false">SUM(E7:E18)</f>
        <v>142904</v>
      </c>
      <c r="F19" s="21" t="n">
        <f aca="false">SUM(F7:F18)</f>
        <v>113262</v>
      </c>
      <c r="G19" s="21" t="n">
        <f aca="false">SUM(G7:G18)</f>
        <v>150405</v>
      </c>
      <c r="H19" s="53" t="n">
        <v>103256</v>
      </c>
    </row>
    <row r="20" customFormat="false" ht="15" hidden="false" customHeight="true" outlineLevel="0" collapsed="false">
      <c r="A20" s="3" t="s">
        <v>269</v>
      </c>
      <c r="B20" s="49" t="n">
        <v>97807</v>
      </c>
      <c r="C20" s="49" t="n">
        <v>84175</v>
      </c>
      <c r="D20" s="49" t="n">
        <v>89381</v>
      </c>
      <c r="E20" s="49" t="n">
        <v>142904</v>
      </c>
      <c r="F20" s="49" t="n">
        <v>113262</v>
      </c>
      <c r="G20" s="49" t="n">
        <v>150405</v>
      </c>
      <c r="H20" s="53" t="n">
        <v>103256</v>
      </c>
    </row>
    <row r="21" customFormat="false" ht="15" hidden="false" customHeight="true" outlineLevel="0" collapsed="false">
      <c r="A21" s="3" t="s">
        <v>270</v>
      </c>
      <c r="B21" s="61" t="n">
        <f aca="false">B19-B20</f>
        <v>-24422</v>
      </c>
      <c r="C21" s="61" t="n">
        <f aca="false">C19-C20</f>
        <v>0</v>
      </c>
      <c r="D21" s="61" t="n">
        <f aca="false">D19-D20</f>
        <v>0</v>
      </c>
      <c r="E21" s="61" t="n">
        <f aca="false">E19-E20</f>
        <v>0</v>
      </c>
      <c r="F21" s="61" t="n">
        <f aca="false">F19-F20</f>
        <v>0</v>
      </c>
      <c r="G21" s="61" t="n">
        <f aca="false">G19-G20</f>
        <v>0</v>
      </c>
      <c r="H21" s="62" t="n">
        <f aca="false">H19-H20</f>
        <v>0</v>
      </c>
    </row>
    <row r="23" customFormat="false" ht="15" hidden="false" customHeight="true" outlineLevel="0" collapsed="false">
      <c r="A23" s="5" t="s">
        <v>323</v>
      </c>
      <c r="B23" s="6"/>
      <c r="C23" s="6"/>
      <c r="D23" s="6"/>
      <c r="E23" s="6"/>
      <c r="F23" s="6"/>
      <c r="G23" s="6"/>
      <c r="H23" s="6"/>
    </row>
    <row r="24" customFormat="false" ht="15" hidden="false" customHeight="true" outlineLevel="0" collapsed="false">
      <c r="A24" s="7" t="s">
        <v>74</v>
      </c>
      <c r="B24" s="53" t="n">
        <v>469147</v>
      </c>
      <c r="C24" s="53" t="n">
        <v>341174</v>
      </c>
      <c r="D24" s="53" t="n">
        <v>452349</v>
      </c>
      <c r="E24" s="53" t="n">
        <v>485597</v>
      </c>
      <c r="F24" s="53" t="n">
        <v>461870</v>
      </c>
      <c r="G24" s="53" t="n">
        <v>492223</v>
      </c>
      <c r="H24" s="53" t="n">
        <v>325059</v>
      </c>
    </row>
    <row r="25" customFormat="false" ht="15" hidden="false" customHeight="true" outlineLevel="0" collapsed="false">
      <c r="A25" s="7" t="s">
        <v>324</v>
      </c>
      <c r="B25" s="53" t="n">
        <v>-4670</v>
      </c>
      <c r="C25" s="53" t="n">
        <v>-2948</v>
      </c>
      <c r="D25" s="53" t="n">
        <v>-3195</v>
      </c>
      <c r="E25" s="53" t="n">
        <v>-3783</v>
      </c>
      <c r="F25" s="53" t="n">
        <v>-2616</v>
      </c>
      <c r="G25" s="53" t="n">
        <v>-2154</v>
      </c>
      <c r="H25" s="53" t="n">
        <v>-967</v>
      </c>
    </row>
    <row r="26" customFormat="false" ht="15" hidden="false" customHeight="true" outlineLevel="0" collapsed="false">
      <c r="A26" s="7" t="s">
        <v>325</v>
      </c>
      <c r="B26" s="53" t="n">
        <v>-44652</v>
      </c>
      <c r="C26" s="53" t="n">
        <v>-50296</v>
      </c>
      <c r="D26" s="53" t="n">
        <v>-47267</v>
      </c>
      <c r="E26" s="53" t="n">
        <v>-58846</v>
      </c>
      <c r="F26" s="53" t="n">
        <v>-70259</v>
      </c>
      <c r="G26" s="53" t="n">
        <v>-73645</v>
      </c>
      <c r="H26" s="53" t="n">
        <v>-59998</v>
      </c>
    </row>
    <row r="27" customFormat="false" ht="15" hidden="false" customHeight="true" outlineLevel="0" collapsed="false">
      <c r="A27" s="7" t="s">
        <v>75</v>
      </c>
      <c r="B27" s="53" t="n">
        <v>-51697</v>
      </c>
      <c r="C27" s="53" t="n">
        <v>-219877</v>
      </c>
      <c r="D27" s="53" t="n">
        <v>-261431</v>
      </c>
      <c r="E27" s="53" t="n">
        <v>-235492</v>
      </c>
      <c r="F27" s="53" t="n">
        <v>-327364</v>
      </c>
      <c r="G27" s="53" t="n">
        <v>-379251</v>
      </c>
      <c r="H27" s="53" t="n">
        <v>-303072</v>
      </c>
    </row>
    <row r="28" customFormat="false" ht="15" hidden="false" customHeight="true" outlineLevel="0" collapsed="false">
      <c r="A28" s="7" t="s">
        <v>326</v>
      </c>
      <c r="B28" s="53" t="n">
        <v>-4485</v>
      </c>
      <c r="C28" s="53" t="n">
        <v>-19460</v>
      </c>
      <c r="D28" s="53" t="n">
        <v>-16411</v>
      </c>
      <c r="E28" s="53" t="n">
        <v>-17115</v>
      </c>
      <c r="F28" s="53" t="n">
        <v>-23868</v>
      </c>
      <c r="G28" s="53" t="n">
        <v>-12971</v>
      </c>
      <c r="H28" s="53" t="n">
        <v>-2900</v>
      </c>
    </row>
    <row r="29" customFormat="false" ht="15" hidden="false" customHeight="true" outlineLevel="0" collapsed="false">
      <c r="A29" s="7" t="s">
        <v>327</v>
      </c>
      <c r="B29" s="53" t="n">
        <v>276086</v>
      </c>
      <c r="C29" s="53" t="n">
        <v>537585</v>
      </c>
      <c r="D29" s="53" t="n">
        <v>436055</v>
      </c>
      <c r="E29" s="53" t="n">
        <v>375859</v>
      </c>
      <c r="F29" s="53" t="n">
        <v>407508</v>
      </c>
      <c r="G29" s="53" t="n">
        <v>361917</v>
      </c>
      <c r="H29" s="53" t="n">
        <v>56444</v>
      </c>
    </row>
    <row r="30" customFormat="false" ht="15" hidden="false" customHeight="true" outlineLevel="0" collapsed="false">
      <c r="A30" s="7" t="s">
        <v>328</v>
      </c>
      <c r="B30" s="53" t="n">
        <v>-42887</v>
      </c>
      <c r="C30" s="53" t="n">
        <v>-59109</v>
      </c>
      <c r="D30" s="53" t="n">
        <v>-120597</v>
      </c>
      <c r="E30" s="53" t="n">
        <v>-253265</v>
      </c>
      <c r="F30" s="53" t="n">
        <v>-287890</v>
      </c>
      <c r="G30" s="53" t="n">
        <v>-218172</v>
      </c>
      <c r="H30" s="53" t="n">
        <v>-49399</v>
      </c>
    </row>
    <row r="31" customFormat="false" ht="15" hidden="false" customHeight="true" outlineLevel="0" collapsed="false">
      <c r="A31" s="7" t="s">
        <v>329</v>
      </c>
      <c r="B31" s="53" t="n">
        <v>-18641</v>
      </c>
      <c r="C31" s="53" t="n">
        <v>1275</v>
      </c>
      <c r="D31" s="53" t="n">
        <v>-1275</v>
      </c>
      <c r="E31" s="53" t="n">
        <v>80000</v>
      </c>
      <c r="F31" s="53" t="n">
        <v>128000</v>
      </c>
      <c r="G31" s="53" t="n">
        <v>-108000</v>
      </c>
      <c r="H31" s="53" t="n">
        <v>82000</v>
      </c>
    </row>
    <row r="32" customFormat="false" ht="15" hidden="false" customHeight="true" outlineLevel="0" collapsed="false">
      <c r="A32" s="7" t="s">
        <v>330</v>
      </c>
      <c r="B32" s="53" t="n">
        <v>-19945</v>
      </c>
      <c r="C32" s="53" t="n">
        <v>-26168</v>
      </c>
      <c r="D32" s="53" t="n">
        <v>-34624</v>
      </c>
      <c r="E32" s="53" t="n">
        <v>-63463</v>
      </c>
      <c r="F32" s="53" t="n">
        <v>-83447</v>
      </c>
      <c r="G32" s="53" t="n">
        <v>-101051</v>
      </c>
      <c r="H32" s="53" t="n">
        <v>-73096</v>
      </c>
    </row>
    <row r="33" customFormat="false" ht="15" hidden="false" customHeight="true" outlineLevel="0" collapsed="false">
      <c r="A33" s="11" t="s">
        <v>331</v>
      </c>
      <c r="B33" s="21" t="n">
        <f aca="false">SUM(B24:B32)</f>
        <v>558256</v>
      </c>
      <c r="C33" s="21" t="n">
        <f aca="false">SUM(C24:C32)</f>
        <v>502176</v>
      </c>
      <c r="D33" s="21" t="n">
        <f aca="false">SUM(D24:D32)</f>
        <v>403604</v>
      </c>
      <c r="E33" s="21" t="n">
        <f aca="false">SUM(E24:E32)</f>
        <v>309492</v>
      </c>
      <c r="F33" s="21" t="n">
        <f aca="false">SUM(F24:F32)</f>
        <v>201934</v>
      </c>
      <c r="G33" s="21" t="n">
        <f aca="false">SUM(G24:G32)</f>
        <v>-41104</v>
      </c>
      <c r="H33" s="12" t="n">
        <f aca="false">SUM(H24:H32)</f>
        <v>-25929</v>
      </c>
    </row>
    <row r="34" customFormat="false" ht="15" hidden="false" customHeight="true" outlineLevel="0" collapsed="false">
      <c r="A34" s="3" t="s">
        <v>269</v>
      </c>
      <c r="B34" s="49" t="n">
        <v>558256</v>
      </c>
      <c r="C34" s="49" t="n">
        <v>502176</v>
      </c>
      <c r="D34" s="49" t="n">
        <v>403604</v>
      </c>
      <c r="E34" s="49" t="n">
        <v>309492</v>
      </c>
      <c r="F34" s="49" t="n">
        <v>201934</v>
      </c>
      <c r="G34" s="49" t="n">
        <v>-41104</v>
      </c>
      <c r="H34" s="53" t="n">
        <v>-25929</v>
      </c>
    </row>
    <row r="35" customFormat="false" ht="15" hidden="false" customHeight="true" outlineLevel="0" collapsed="false">
      <c r="A35" s="3" t="s">
        <v>270</v>
      </c>
      <c r="B35" s="61" t="n">
        <f aca="false">B33-B34</f>
        <v>0</v>
      </c>
      <c r="C35" s="61" t="n">
        <f aca="false">C33-C34</f>
        <v>0</v>
      </c>
      <c r="D35" s="61" t="n">
        <f aca="false">D33-D34</f>
        <v>0</v>
      </c>
      <c r="E35" s="61" t="n">
        <f aca="false">E33-E34</f>
        <v>0</v>
      </c>
      <c r="F35" s="61" t="n">
        <f aca="false">F33-F34</f>
        <v>0</v>
      </c>
      <c r="G35" s="61" t="n">
        <f aca="false">G33-G34</f>
        <v>0</v>
      </c>
      <c r="H35" s="62" t="n">
        <f aca="false">H33-H34</f>
        <v>0</v>
      </c>
    </row>
    <row r="37" customFormat="false" ht="15" hidden="false" customHeight="true" outlineLevel="0" collapsed="false">
      <c r="A37" s="5" t="s">
        <v>332</v>
      </c>
      <c r="B37" s="6"/>
      <c r="C37" s="6"/>
      <c r="D37" s="6"/>
      <c r="E37" s="6"/>
      <c r="F37" s="6"/>
      <c r="G37" s="6"/>
      <c r="H37" s="6"/>
    </row>
    <row r="38" customFormat="false" ht="15" hidden="false" customHeight="true" outlineLevel="0" collapsed="false">
      <c r="A38" s="7" t="s">
        <v>333</v>
      </c>
      <c r="B38" s="53" t="n">
        <v>-450088</v>
      </c>
      <c r="C38" s="53" t="n">
        <v>-533770</v>
      </c>
      <c r="D38" s="53" t="n">
        <v>-327941</v>
      </c>
      <c r="E38" s="53" t="n">
        <v>-658181</v>
      </c>
      <c r="F38" s="53" t="n">
        <v>-68912</v>
      </c>
      <c r="G38" s="53" t="n">
        <v>-24806</v>
      </c>
      <c r="H38" s="53" t="n">
        <v>0</v>
      </c>
    </row>
    <row r="39" customFormat="false" ht="15" hidden="false" customHeight="true" outlineLevel="0" collapsed="false">
      <c r="A39" s="7" t="s">
        <v>334</v>
      </c>
      <c r="B39" s="53" t="n">
        <v>-13288</v>
      </c>
      <c r="C39" s="53" t="n">
        <v>-12053</v>
      </c>
      <c r="D39" s="53" t="n">
        <v>-27649</v>
      </c>
      <c r="E39" s="53" t="n">
        <v>-66528</v>
      </c>
      <c r="F39" s="53" t="n">
        <v>-12495</v>
      </c>
      <c r="G39" s="53" t="n">
        <v>-10463</v>
      </c>
      <c r="H39" s="53" t="n">
        <v>-4465</v>
      </c>
    </row>
    <row r="40" customFormat="false" ht="15" hidden="false" customHeight="true" outlineLevel="0" collapsed="false">
      <c r="A40" s="7" t="s">
        <v>335</v>
      </c>
      <c r="F40" s="53" t="n">
        <v>-26229</v>
      </c>
      <c r="G40" s="53" t="n">
        <v>-120883</v>
      </c>
      <c r="H40" s="53" t="n">
        <v>-37488</v>
      </c>
    </row>
    <row r="41" customFormat="false" ht="15" hidden="false" customHeight="true" outlineLevel="0" collapsed="false">
      <c r="A41" s="7" t="s">
        <v>45</v>
      </c>
      <c r="B41" s="53" t="n">
        <v>-27294</v>
      </c>
      <c r="C41" s="53" t="n">
        <v>-55696</v>
      </c>
      <c r="D41" s="53" t="n">
        <v>-61384</v>
      </c>
      <c r="E41" s="53" t="n">
        <v>-61109</v>
      </c>
      <c r="F41" s="53" t="n">
        <v>-47628</v>
      </c>
      <c r="G41" s="53" t="n">
        <v>-49687</v>
      </c>
      <c r="H41" s="53" t="n">
        <v>-36545</v>
      </c>
    </row>
    <row r="42" customFormat="false" ht="15" hidden="false" customHeight="true" outlineLevel="0" collapsed="false">
      <c r="A42" s="7" t="s">
        <v>336</v>
      </c>
      <c r="B42" s="53" t="n">
        <v>-12332</v>
      </c>
      <c r="C42" s="53" t="n">
        <v>-14008</v>
      </c>
      <c r="D42" s="53" t="n">
        <v>-19600</v>
      </c>
      <c r="E42" s="53" t="n">
        <v>-6000</v>
      </c>
    </row>
    <row r="43" customFormat="false" ht="15" hidden="false" customHeight="true" outlineLevel="0" collapsed="false">
      <c r="A43" s="7" t="s">
        <v>337</v>
      </c>
      <c r="F43" s="53" t="n">
        <v>-13092</v>
      </c>
    </row>
    <row r="44" customFormat="false" ht="15" hidden="false" customHeight="true" outlineLevel="0" collapsed="false">
      <c r="A44" s="7" t="s">
        <v>338</v>
      </c>
      <c r="B44" s="53" t="n">
        <v>-2823</v>
      </c>
      <c r="C44" s="53" t="n">
        <v>-732</v>
      </c>
      <c r="D44" s="53" t="n">
        <v>-631</v>
      </c>
      <c r="E44" s="53" t="n">
        <v>-32</v>
      </c>
    </row>
    <row r="45" customFormat="false" ht="15" hidden="false" customHeight="true" outlineLevel="0" collapsed="false">
      <c r="A45" s="7" t="s">
        <v>339</v>
      </c>
      <c r="B45" s="53" t="n">
        <v>-17600</v>
      </c>
      <c r="C45" s="53" t="n">
        <v>-20668</v>
      </c>
      <c r="D45" s="53" t="n">
        <v>-14307</v>
      </c>
      <c r="E45" s="53" t="n">
        <v>-6766</v>
      </c>
      <c r="F45" s="53" t="n">
        <v>-10228</v>
      </c>
      <c r="G45" s="53" t="n">
        <v>-2333</v>
      </c>
      <c r="H45" s="53" t="n">
        <v>-5080</v>
      </c>
    </row>
    <row r="46" customFormat="false" ht="15" hidden="false" customHeight="true" outlineLevel="0" collapsed="false">
      <c r="A46" s="7" t="s">
        <v>340</v>
      </c>
      <c r="B46" s="53" t="n">
        <v>27225</v>
      </c>
      <c r="C46" s="53" t="n">
        <v>9120</v>
      </c>
      <c r="D46" s="53" t="n">
        <v>20001</v>
      </c>
      <c r="E46" s="53" t="n">
        <v>59762</v>
      </c>
      <c r="F46" s="53" t="n">
        <v>5380</v>
      </c>
      <c r="G46" s="53" t="n">
        <v>589</v>
      </c>
      <c r="H46" s="53" t="n">
        <v>32161</v>
      </c>
    </row>
    <row r="47" customFormat="false" ht="15" hidden="false" customHeight="true" outlineLevel="0" collapsed="false">
      <c r="A47" s="7" t="s">
        <v>341</v>
      </c>
      <c r="B47" s="53" t="n">
        <v>-51932</v>
      </c>
      <c r="C47" s="53" t="n">
        <v>-45214</v>
      </c>
      <c r="D47" s="53" t="n">
        <v>-147154</v>
      </c>
      <c r="E47" s="53" t="n">
        <v>-96676</v>
      </c>
      <c r="F47" s="53" t="n">
        <v>-65411</v>
      </c>
      <c r="G47" s="53" t="n">
        <v>-35565</v>
      </c>
      <c r="H47" s="53" t="n">
        <v>-18533</v>
      </c>
    </row>
    <row r="48" customFormat="false" ht="15" hidden="false" customHeight="true" outlineLevel="0" collapsed="false">
      <c r="A48" s="7" t="s">
        <v>342</v>
      </c>
      <c r="B48" s="53" t="n">
        <v>18945</v>
      </c>
      <c r="C48" s="53" t="n">
        <v>24762</v>
      </c>
      <c r="D48" s="53" t="n">
        <v>74080</v>
      </c>
      <c r="E48" s="53" t="n">
        <v>147315</v>
      </c>
      <c r="F48" s="53" t="n">
        <v>6426</v>
      </c>
      <c r="G48" s="53" t="n">
        <v>32808</v>
      </c>
      <c r="H48" s="53" t="n">
        <v>5471</v>
      </c>
    </row>
    <row r="49" customFormat="false" ht="15" hidden="false" customHeight="true" outlineLevel="0" collapsed="false">
      <c r="A49" s="7" t="s">
        <v>343</v>
      </c>
      <c r="B49" s="53" t="n">
        <v>102148</v>
      </c>
      <c r="C49" s="53" t="n">
        <v>255503</v>
      </c>
      <c r="D49" s="53" t="n">
        <v>163059</v>
      </c>
      <c r="E49" s="53" t="n">
        <v>131499</v>
      </c>
      <c r="F49" s="53" t="n">
        <v>17948</v>
      </c>
      <c r="G49" s="53" t="n">
        <v>125483</v>
      </c>
    </row>
    <row r="50" customFormat="false" ht="15" hidden="false" customHeight="true" outlineLevel="0" collapsed="false">
      <c r="A50" s="7" t="s">
        <v>344</v>
      </c>
      <c r="B50" s="53" t="n">
        <v>-204725</v>
      </c>
      <c r="C50" s="53" t="n">
        <v>-137121</v>
      </c>
      <c r="D50" s="53" t="n">
        <v>-47377</v>
      </c>
      <c r="E50" s="53" t="n">
        <v>-103957</v>
      </c>
      <c r="F50" s="53" t="n">
        <v>-114710</v>
      </c>
      <c r="G50" s="53" t="n">
        <v>-19417</v>
      </c>
    </row>
    <row r="51" customFormat="false" ht="15" hidden="false" customHeight="true" outlineLevel="0" collapsed="false">
      <c r="A51" s="7" t="s">
        <v>345</v>
      </c>
      <c r="B51" s="53" t="n">
        <v>9950</v>
      </c>
      <c r="C51" s="53" t="n">
        <v>14500</v>
      </c>
    </row>
    <row r="52" customFormat="false" ht="15" hidden="false" customHeight="true" outlineLevel="0" collapsed="false">
      <c r="A52" s="11" t="s">
        <v>346</v>
      </c>
      <c r="B52" s="21" t="n">
        <f aca="false">SUM(B38:B51)</f>
        <v>-621814</v>
      </c>
      <c r="C52" s="21" t="n">
        <f aca="false">SUM(C38:C51)</f>
        <v>-515377</v>
      </c>
      <c r="D52" s="21" t="n">
        <f aca="false">SUM(D38:D51)</f>
        <v>-388903</v>
      </c>
      <c r="E52" s="21" t="n">
        <f aca="false">SUM(E38:E51)</f>
        <v>-660673</v>
      </c>
      <c r="F52" s="21" t="n">
        <f aca="false">SUM(F38:F51)</f>
        <v>-328951</v>
      </c>
      <c r="G52" s="21" t="n">
        <f aca="false">SUM(G38:G51)</f>
        <v>-104274</v>
      </c>
      <c r="H52" s="12" t="n">
        <f aca="false">SUM(H38:H51)</f>
        <v>-64479</v>
      </c>
    </row>
    <row r="53" customFormat="false" ht="15" hidden="false" customHeight="true" outlineLevel="0" collapsed="false">
      <c r="A53" s="3" t="s">
        <v>269</v>
      </c>
      <c r="B53" s="49" t="n">
        <v>-621814</v>
      </c>
      <c r="C53" s="49" t="n">
        <v>-515377</v>
      </c>
      <c r="D53" s="49" t="n">
        <v>-388903</v>
      </c>
      <c r="E53" s="49" t="n">
        <v>-660673</v>
      </c>
      <c r="F53" s="49" t="n">
        <v>-328951</v>
      </c>
      <c r="G53" s="49" t="n">
        <v>-104274</v>
      </c>
      <c r="H53" s="53" t="n">
        <v>-64479</v>
      </c>
    </row>
    <row r="54" customFormat="false" ht="15" hidden="false" customHeight="true" outlineLevel="0" collapsed="false">
      <c r="A54" s="3" t="s">
        <v>270</v>
      </c>
      <c r="B54" s="61" t="n">
        <f aca="false">B52-B53</f>
        <v>0</v>
      </c>
      <c r="C54" s="61" t="n">
        <f aca="false">C52-C53</f>
        <v>0</v>
      </c>
      <c r="D54" s="61" t="n">
        <f aca="false">D52-D53</f>
        <v>0</v>
      </c>
      <c r="E54" s="61" t="n">
        <f aca="false">E52-E53</f>
        <v>0</v>
      </c>
      <c r="F54" s="61" t="n">
        <f aca="false">F52-F53</f>
        <v>0</v>
      </c>
      <c r="G54" s="61" t="n">
        <f aca="false">G52-G53</f>
        <v>0</v>
      </c>
      <c r="H54" s="53" t="n">
        <v>-64479</v>
      </c>
    </row>
    <row r="56" customFormat="false" ht="15" hidden="false" customHeight="true" outlineLevel="0" collapsed="false">
      <c r="A56" s="5" t="s">
        <v>347</v>
      </c>
      <c r="B56" s="6"/>
      <c r="C56" s="6"/>
      <c r="D56" s="6"/>
      <c r="E56" s="6"/>
      <c r="F56" s="6"/>
      <c r="G56" s="6"/>
      <c r="H56" s="6"/>
    </row>
    <row r="57" customFormat="false" ht="15" hidden="false" customHeight="true" outlineLevel="0" collapsed="false">
      <c r="A57" s="11" t="s">
        <v>348</v>
      </c>
      <c r="B57" s="21" t="n">
        <f aca="false">B19+B33+B52</f>
        <v>9827</v>
      </c>
      <c r="C57" s="21" t="n">
        <f aca="false">C19+C33+C52</f>
        <v>70974</v>
      </c>
      <c r="D57" s="21" t="n">
        <f aca="false">D19+D33+D52</f>
        <v>104082</v>
      </c>
      <c r="E57" s="21" t="n">
        <f aca="false">E19+E33+E52</f>
        <v>-208277</v>
      </c>
      <c r="F57" s="21" t="n">
        <f aca="false">F19+F33+F52</f>
        <v>-13755</v>
      </c>
      <c r="G57" s="21" t="n">
        <f aca="false">G19+G33+G52</f>
        <v>5027</v>
      </c>
      <c r="H57" s="12" t="n">
        <f aca="false">H19+H33+H52</f>
        <v>12848</v>
      </c>
    </row>
    <row r="58" customFormat="false" ht="15" hidden="false" customHeight="true" outlineLevel="0" collapsed="false">
      <c r="A58" s="7" t="s">
        <v>349</v>
      </c>
      <c r="B58" s="53" t="n">
        <v>36306</v>
      </c>
      <c r="C58" s="53" t="n">
        <v>70555</v>
      </c>
      <c r="D58" s="53" t="n">
        <v>141529</v>
      </c>
      <c r="E58" s="53" t="n">
        <v>245611</v>
      </c>
      <c r="F58" s="53" t="n">
        <v>37334</v>
      </c>
      <c r="G58" s="53" t="n">
        <v>23579</v>
      </c>
      <c r="H58" s="53" t="n">
        <v>28606</v>
      </c>
    </row>
    <row r="59" customFormat="false" ht="15" hidden="false" customHeight="true" outlineLevel="0" collapsed="false">
      <c r="A59" s="11" t="s">
        <v>350</v>
      </c>
      <c r="B59" s="21" t="n">
        <f aca="false">B57+B58</f>
        <v>46133</v>
      </c>
      <c r="C59" s="21" t="n">
        <f aca="false">C57+C58</f>
        <v>141529</v>
      </c>
      <c r="D59" s="21" t="n">
        <f aca="false">D57+D58</f>
        <v>245611</v>
      </c>
      <c r="E59" s="21" t="n">
        <f aca="false">E57+E58</f>
        <v>37334</v>
      </c>
      <c r="F59" s="21" t="n">
        <f aca="false">F57+F58</f>
        <v>23579</v>
      </c>
      <c r="G59" s="21" t="n">
        <f aca="false">G57+G58</f>
        <v>28606</v>
      </c>
      <c r="H59" s="12" t="n">
        <f aca="false">H57+H58</f>
        <v>41454</v>
      </c>
    </row>
    <row r="60" customFormat="false" ht="15" hidden="false" customHeight="true" outlineLevel="0" collapsed="false">
      <c r="A60" s="3" t="s">
        <v>351</v>
      </c>
      <c r="B60" s="61" t="n">
        <f aca="false">B59-BS!B14</f>
        <v>-24422</v>
      </c>
      <c r="C60" s="61" t="n">
        <f aca="false">C59-BS!C14</f>
        <v>0</v>
      </c>
      <c r="D60" s="61" t="n">
        <f aca="false">D59-BS!D14</f>
        <v>0</v>
      </c>
      <c r="E60" s="61" t="n">
        <f aca="false">E59-BS!E14</f>
        <v>0</v>
      </c>
      <c r="F60" s="61" t="n">
        <f aca="false">F59-BS!F14</f>
        <v>0</v>
      </c>
      <c r="G60" s="61" t="n">
        <f aca="false">G59-BS!G14</f>
        <v>0</v>
      </c>
      <c r="H60" s="69" t="n">
        <f aca="false">H59-BS!H14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8"/>
  <sheetViews>
    <sheetView showFormulas="false" showGridLines="false" showRowColHeaders="true" showZeros="true" rightToLeft="false" tabSelected="false" showOutlineSymbols="true" defaultGridColor="true" view="normal" topLeftCell="A125" colorId="64" zoomScale="169" zoomScaleNormal="169" zoomScalePageLayoutView="100" workbookViewId="0">
      <selection pane="topLeft" activeCell="B155" activeCellId="0" sqref="B155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8"/>
    <col collapsed="false" customWidth="true" hidden="false" outlineLevel="0" max="8" min="2" style="1" width="14"/>
  </cols>
  <sheetData>
    <row r="1" customFormat="false" ht="17.25" hidden="false" customHeight="true" outlineLevel="0" collapsed="false">
      <c r="A1" s="70" t="s">
        <v>352</v>
      </c>
    </row>
    <row r="2" customFormat="false" ht="15" hidden="false" customHeight="true" outlineLevel="0" collapsed="false">
      <c r="A2" s="3" t="s">
        <v>353</v>
      </c>
    </row>
    <row r="3" customFormat="false" ht="15" hidden="false" customHeight="true" outlineLevel="0" collapsed="false">
      <c r="A3" s="3" t="s">
        <v>354</v>
      </c>
    </row>
    <row r="4" customFormat="false" ht="23.25" hidden="false" customHeight="true" outlineLevel="0" collapsed="false">
      <c r="H4" s="60" t="s">
        <v>309</v>
      </c>
    </row>
    <row r="5" customFormat="false" ht="15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7" customFormat="false" ht="15" hidden="false" customHeight="true" outlineLevel="0" collapsed="false">
      <c r="A7" s="5" t="s">
        <v>17</v>
      </c>
      <c r="B7" s="6"/>
      <c r="C7" s="6"/>
      <c r="D7" s="6"/>
      <c r="E7" s="6"/>
      <c r="F7" s="6"/>
      <c r="G7" s="6"/>
      <c r="H7" s="6"/>
    </row>
    <row r="8" customFormat="false" ht="15" hidden="false" customHeight="true" outlineLevel="0" collapsed="false">
      <c r="A8" s="7" t="s">
        <v>355</v>
      </c>
      <c r="C8" s="71" t="n">
        <v>117221</v>
      </c>
      <c r="D8" s="71" t="n">
        <v>146713</v>
      </c>
      <c r="E8" s="71" t="n">
        <v>234995</v>
      </c>
      <c r="F8" s="71" t="n">
        <v>299892</v>
      </c>
      <c r="G8" s="71" t="n">
        <v>331887</v>
      </c>
      <c r="H8" s="53"/>
    </row>
    <row r="9" customFormat="false" ht="15" hidden="false" customHeight="true" outlineLevel="0" collapsed="false">
      <c r="A9" s="7" t="s">
        <v>356</v>
      </c>
      <c r="C9" s="71" t="n">
        <v>5270</v>
      </c>
      <c r="D9" s="71" t="n">
        <v>7087</v>
      </c>
      <c r="E9" s="71" t="n">
        <v>11709</v>
      </c>
      <c r="F9" s="71" t="n">
        <v>16129</v>
      </c>
      <c r="G9" s="71" t="n">
        <v>16768</v>
      </c>
    </row>
    <row r="10" customFormat="false" ht="15" hidden="false" customHeight="true" outlineLevel="0" collapsed="false">
      <c r="A10" s="7" t="s">
        <v>357</v>
      </c>
      <c r="C10" s="71" t="n">
        <v>881</v>
      </c>
      <c r="D10" s="71" t="n">
        <v>1183</v>
      </c>
      <c r="E10" s="71" t="n">
        <v>1454</v>
      </c>
      <c r="F10" s="71" t="n">
        <v>1683</v>
      </c>
      <c r="G10" s="71" t="n">
        <v>1596</v>
      </c>
    </row>
    <row r="11" customFormat="false" ht="15" hidden="false" customHeight="true" outlineLevel="0" collapsed="false">
      <c r="A11" s="11" t="s">
        <v>358</v>
      </c>
      <c r="B11" s="72" t="n">
        <v>90469</v>
      </c>
      <c r="C11" s="73" t="n">
        <f aca="false">SUM(C8:C10)</f>
        <v>123372</v>
      </c>
      <c r="D11" s="73" t="n">
        <f aca="false">SUM(D8:D10)</f>
        <v>154983</v>
      </c>
      <c r="E11" s="73" t="n">
        <f aca="false">SUM(E8:E10)</f>
        <v>248158</v>
      </c>
      <c r="F11" s="73" t="n">
        <f aca="false">SUM(F8:F10)</f>
        <v>317704</v>
      </c>
      <c r="G11" s="73" t="n">
        <f aca="false">SUM(G8:G10)</f>
        <v>350251</v>
      </c>
      <c r="H11" s="53" t="n">
        <v>276229</v>
      </c>
    </row>
    <row r="12" customFormat="false" ht="15" hidden="false" customHeight="true" outlineLevel="0" collapsed="false">
      <c r="A12" s="3" t="s">
        <v>359</v>
      </c>
      <c r="B12" s="3"/>
      <c r="C12" s="74" t="n">
        <v>127663</v>
      </c>
      <c r="D12" s="74" t="n">
        <v>164743</v>
      </c>
      <c r="E12" s="74" t="n">
        <v>281191</v>
      </c>
      <c r="F12" s="74" t="n">
        <v>348039</v>
      </c>
      <c r="G12" s="74" t="n">
        <v>383896</v>
      </c>
    </row>
    <row r="14" customFormat="false" ht="15" hidden="false" customHeight="true" outlineLevel="0" collapsed="false">
      <c r="A14" s="5" t="s">
        <v>360</v>
      </c>
      <c r="B14" s="6"/>
      <c r="C14" s="6"/>
      <c r="D14" s="6"/>
      <c r="E14" s="6"/>
      <c r="F14" s="6"/>
      <c r="G14" s="6"/>
      <c r="H14" s="6"/>
    </row>
    <row r="15" customFormat="false" ht="15" hidden="false" customHeight="true" outlineLevel="0" collapsed="false">
      <c r="A15" s="7" t="s">
        <v>18</v>
      </c>
      <c r="B15" s="71" t="n">
        <v>-28679</v>
      </c>
      <c r="C15" s="71" t="n">
        <v>-42620</v>
      </c>
      <c r="D15" s="71" t="n">
        <v>-57171</v>
      </c>
      <c r="E15" s="71" t="n">
        <v>-88117</v>
      </c>
      <c r="F15" s="71" t="n">
        <v>-112949</v>
      </c>
      <c r="G15" s="71" t="n">
        <v>-122464</v>
      </c>
      <c r="H15" s="53" t="n">
        <v>-100041</v>
      </c>
    </row>
    <row r="17" customFormat="false" ht="15" hidden="false" customHeight="true" outlineLevel="0" collapsed="false">
      <c r="A17" s="11" t="s">
        <v>361</v>
      </c>
      <c r="B17" s="73" t="n">
        <f aca="false">B11+B15</f>
        <v>61790</v>
      </c>
      <c r="C17" s="73" t="n">
        <f aca="false">C11+C15</f>
        <v>80752</v>
      </c>
      <c r="D17" s="73" t="n">
        <f aca="false">D11+D15</f>
        <v>97812</v>
      </c>
      <c r="E17" s="73" t="n">
        <f aca="false">E11+E15</f>
        <v>160041</v>
      </c>
      <c r="F17" s="73" t="n">
        <f aca="false">F11+F15</f>
        <v>204755</v>
      </c>
      <c r="G17" s="73" t="n">
        <f aca="false">G11+G15</f>
        <v>227787</v>
      </c>
      <c r="H17" s="75" t="n">
        <f aca="false">H11+H15</f>
        <v>176188</v>
      </c>
    </row>
    <row r="18" customFormat="false" ht="15" hidden="false" customHeight="true" outlineLevel="0" collapsed="false">
      <c r="A18" s="7" t="s">
        <v>362</v>
      </c>
      <c r="B18" s="13" t="n">
        <f aca="false">IF(B11=0,"",B17/B11)</f>
        <v>0.682996385502216</v>
      </c>
      <c r="C18" s="13" t="n">
        <f aca="false">IF(C11=0,"",C17/C11)</f>
        <v>0.654540738579256</v>
      </c>
      <c r="D18" s="13" t="n">
        <f aca="false">IF(D11=0,"",D17/D11)</f>
        <v>0.63111438028687</v>
      </c>
      <c r="E18" s="13" t="n">
        <f aca="false">IF(E11=0,"",E17/E11)</f>
        <v>0.644915739166176</v>
      </c>
      <c r="F18" s="13" t="n">
        <f aca="false">IF(F11=0,"",F17/F11)</f>
        <v>0.644483544431295</v>
      </c>
      <c r="G18" s="13" t="n">
        <f aca="false">IF(G11=0,"",G17/G11)</f>
        <v>0.650353603558591</v>
      </c>
      <c r="H18" s="13" t="n">
        <f aca="false">IF(H11=0,"",H17/H11)</f>
        <v>0.637833102244877</v>
      </c>
    </row>
    <row r="20" customFormat="false" ht="15" hidden="false" customHeight="true" outlineLevel="0" collapsed="false">
      <c r="A20" s="5" t="s">
        <v>363</v>
      </c>
      <c r="B20" s="6"/>
      <c r="C20" s="6"/>
      <c r="D20" s="6"/>
      <c r="E20" s="6"/>
      <c r="F20" s="6"/>
      <c r="G20" s="6"/>
      <c r="H20" s="6"/>
    </row>
    <row r="21" customFormat="false" ht="15" hidden="false" customHeight="true" outlineLevel="0" collapsed="false">
      <c r="A21" s="7" t="s">
        <v>364</v>
      </c>
      <c r="B21" s="71" t="n">
        <v>48505</v>
      </c>
      <c r="C21" s="71" t="n">
        <v>49144</v>
      </c>
      <c r="D21" s="71" t="n">
        <v>31802</v>
      </c>
      <c r="E21" s="71" t="n">
        <v>19011</v>
      </c>
      <c r="F21" s="71" t="n">
        <v>28822</v>
      </c>
      <c r="G21" s="71" t="n">
        <v>28997</v>
      </c>
      <c r="H21" s="53" t="n">
        <v>21131</v>
      </c>
    </row>
    <row r="22" customFormat="false" ht="15" hidden="false" customHeight="true" outlineLevel="0" collapsed="false">
      <c r="A22" s="7" t="s">
        <v>365</v>
      </c>
      <c r="B22" s="71" t="n">
        <v>-479</v>
      </c>
      <c r="C22" s="71" t="n">
        <v>4</v>
      </c>
      <c r="D22" s="71" t="n">
        <v>1102</v>
      </c>
      <c r="E22" s="71" t="n">
        <v>-682</v>
      </c>
      <c r="F22" s="71" t="n">
        <v>-1834</v>
      </c>
      <c r="G22" s="71" t="n">
        <v>-4130</v>
      </c>
      <c r="H22" s="53" t="n">
        <v>62</v>
      </c>
    </row>
    <row r="23" customFormat="false" ht="15" hidden="false" customHeight="true" outlineLevel="0" collapsed="false">
      <c r="A23" s="7" t="s">
        <v>366</v>
      </c>
      <c r="B23" s="71" t="n">
        <v>24983</v>
      </c>
      <c r="C23" s="71" t="n">
        <v>16157</v>
      </c>
      <c r="D23" s="71" t="n">
        <v>71433</v>
      </c>
      <c r="E23" s="71" t="n">
        <v>13244</v>
      </c>
      <c r="F23" s="71" t="n">
        <v>16692</v>
      </c>
      <c r="G23" s="71" t="n">
        <v>17158</v>
      </c>
      <c r="H23" s="53" t="n">
        <v>3483</v>
      </c>
    </row>
    <row r="24" customFormat="false" ht="15" hidden="false" customHeight="true" outlineLevel="0" collapsed="false">
      <c r="A24" s="7" t="s">
        <v>367</v>
      </c>
      <c r="B24" s="71" t="n">
        <v>205196</v>
      </c>
      <c r="C24" s="71" t="n">
        <v>34303</v>
      </c>
      <c r="D24" s="71" t="n">
        <v>124727</v>
      </c>
      <c r="E24" s="71" t="n">
        <v>217019</v>
      </c>
      <c r="F24" s="71" t="n">
        <v>103125</v>
      </c>
      <c r="G24" s="71" t="n">
        <v>143930</v>
      </c>
      <c r="H24" s="53" t="n">
        <v>27551</v>
      </c>
    </row>
    <row r="25" customFormat="false" ht="15" hidden="false" customHeight="true" outlineLevel="0" collapsed="false">
      <c r="A25" s="7" t="s">
        <v>24</v>
      </c>
      <c r="B25" s="71" t="n">
        <v>-21351</v>
      </c>
      <c r="C25" s="71" t="n">
        <v>-28817</v>
      </c>
      <c r="D25" s="71" t="n">
        <v>-37697</v>
      </c>
      <c r="E25" s="71" t="n">
        <v>-70306</v>
      </c>
      <c r="F25" s="71" t="n">
        <v>-87501</v>
      </c>
      <c r="G25" s="71" t="n">
        <v>-106182</v>
      </c>
      <c r="H25" s="53" t="n">
        <v>-77259</v>
      </c>
    </row>
    <row r="26" customFormat="false" ht="15" hidden="false" customHeight="true" outlineLevel="0" collapsed="false">
      <c r="A26" s="7" t="s">
        <v>368</v>
      </c>
      <c r="B26" s="71" t="n">
        <v>-5246</v>
      </c>
      <c r="C26" s="71" t="n">
        <v>-6650</v>
      </c>
      <c r="D26" s="71" t="n">
        <v>-8376</v>
      </c>
      <c r="E26" s="71" t="n">
        <v>-11469</v>
      </c>
      <c r="F26" s="71" t="n">
        <v>-14393</v>
      </c>
      <c r="G26" s="71" t="n">
        <v>-14591</v>
      </c>
      <c r="H26" s="53" t="n">
        <v>-12698</v>
      </c>
    </row>
    <row r="27" customFormat="false" ht="15" hidden="false" customHeight="true" outlineLevel="0" collapsed="false">
      <c r="A27" s="7" t="s">
        <v>369</v>
      </c>
      <c r="B27" s="71" t="n">
        <v>0</v>
      </c>
      <c r="C27" s="71" t="n">
        <v>0</v>
      </c>
      <c r="D27" s="71" t="n">
        <v>13346</v>
      </c>
      <c r="E27" s="71" t="n">
        <v>5594</v>
      </c>
      <c r="F27" s="71" t="n">
        <v>897</v>
      </c>
      <c r="G27" s="71" t="n">
        <v>892</v>
      </c>
      <c r="H27" s="53" t="n">
        <v>421</v>
      </c>
    </row>
    <row r="28" customFormat="false" ht="15" hidden="false" customHeight="true" outlineLevel="0" collapsed="false">
      <c r="A28" s="3" t="s">
        <v>370</v>
      </c>
      <c r="B28" s="74" t="n">
        <f aca="false">B26+B27</f>
        <v>-5246</v>
      </c>
      <c r="C28" s="74" t="n">
        <f aca="false">C26+C27</f>
        <v>-6650</v>
      </c>
      <c r="D28" s="74" t="n">
        <f aca="false">D26+D27</f>
        <v>4970</v>
      </c>
      <c r="E28" s="74" t="n">
        <f aca="false">E26+E27</f>
        <v>-5875</v>
      </c>
      <c r="F28" s="74" t="n">
        <f aca="false">F26+F27</f>
        <v>-13496</v>
      </c>
      <c r="G28" s="74" t="n">
        <f aca="false">G26+G27</f>
        <v>-13699</v>
      </c>
      <c r="H28" s="75" t="n">
        <f aca="false">H26+H27</f>
        <v>-12277</v>
      </c>
    </row>
    <row r="29" customFormat="false" ht="15" hidden="false" customHeight="true" outlineLevel="0" collapsed="false">
      <c r="A29" s="3" t="s">
        <v>371</v>
      </c>
      <c r="B29" s="74" t="n">
        <v>-5246</v>
      </c>
      <c r="C29" s="74" t="n">
        <v>-6650</v>
      </c>
      <c r="D29" s="74" t="n">
        <v>4970</v>
      </c>
      <c r="E29" s="74" t="n">
        <v>-5875</v>
      </c>
      <c r="F29" s="74" t="n">
        <v>-13496</v>
      </c>
      <c r="G29" s="74" t="n">
        <v>-13699</v>
      </c>
    </row>
    <row r="30" customFormat="false" ht="15" hidden="false" customHeight="true" outlineLevel="0" collapsed="false">
      <c r="A30" s="7" t="s">
        <v>372</v>
      </c>
      <c r="B30" s="71" t="n">
        <v>-19042</v>
      </c>
      <c r="C30" s="71" t="n">
        <v>-25433</v>
      </c>
      <c r="D30" s="71" t="n">
        <v>-29075</v>
      </c>
      <c r="E30" s="71" t="n">
        <v>-35695</v>
      </c>
      <c r="F30" s="71" t="n">
        <v>-40364</v>
      </c>
      <c r="G30" s="71" t="n">
        <v>-37111</v>
      </c>
      <c r="H30" s="53" t="n">
        <v>-30536</v>
      </c>
    </row>
    <row r="31" customFormat="false" ht="15" hidden="false" customHeight="true" outlineLevel="0" collapsed="false">
      <c r="A31" s="7" t="s">
        <v>373</v>
      </c>
      <c r="B31" s="71" t="n">
        <v>0</v>
      </c>
      <c r="C31" s="71" t="n">
        <v>0</v>
      </c>
      <c r="D31" s="71" t="n">
        <v>0</v>
      </c>
      <c r="E31" s="71" t="n">
        <v>0</v>
      </c>
      <c r="F31" s="71" t="n">
        <v>-14533</v>
      </c>
      <c r="G31" s="71" t="n">
        <v>-44728</v>
      </c>
      <c r="H31" s="53" t="n">
        <v>-35002</v>
      </c>
    </row>
    <row r="32" customFormat="false" ht="15" hidden="false" customHeight="true" outlineLevel="0" collapsed="false">
      <c r="A32" s="7" t="s">
        <v>374</v>
      </c>
      <c r="C32" s="71" t="n">
        <v>-2627</v>
      </c>
      <c r="D32" s="71" t="n">
        <v>-1239</v>
      </c>
      <c r="E32" s="71" t="n">
        <v>1171</v>
      </c>
      <c r="F32" s="71" t="n">
        <v>-2664</v>
      </c>
      <c r="G32" s="71" t="n">
        <v>2221</v>
      </c>
      <c r="H32" s="53" t="n">
        <v>-329</v>
      </c>
    </row>
    <row r="34" customFormat="false" ht="15" hidden="false" customHeight="true" outlineLevel="0" collapsed="false">
      <c r="A34" s="11" t="s">
        <v>375</v>
      </c>
      <c r="B34" s="73" t="n">
        <f aca="false">B17+B21+B22+B23+B24+B25+B26+B27+B30+B31+B32</f>
        <v>294356</v>
      </c>
      <c r="C34" s="73" t="n">
        <f aca="false">C17+C21+C22+C23+C24+C25+C26+C27+C30+C31+C32</f>
        <v>116833</v>
      </c>
      <c r="D34" s="73" t="n">
        <f aca="false">D17+D21+D22+D23+D24+D25+D26+D27+D30+D31+D32</f>
        <v>263835</v>
      </c>
      <c r="E34" s="73" t="n">
        <f aca="false">E17+E21+E22+E23+E24+E25+E26+E27+E30+E31+E32</f>
        <v>297928</v>
      </c>
      <c r="F34" s="73" t="n">
        <f aca="false">F17+F21+F22+F23+F24+F25+F26+F27+F30+F31+F32</f>
        <v>193002</v>
      </c>
      <c r="G34" s="73" t="n">
        <f aca="false">G17+G21+G22+G23+G24+G25+G26+G27+G30+G31+G32</f>
        <v>214243</v>
      </c>
      <c r="H34" s="75" t="n">
        <f aca="false">H17+H21+H22+H23+H24+H25+H26+H27+H30+H31+H32</f>
        <v>73012</v>
      </c>
    </row>
    <row r="35" customFormat="false" ht="15" hidden="false" customHeight="true" outlineLevel="0" collapsed="false">
      <c r="A35" s="7" t="s">
        <v>376</v>
      </c>
      <c r="B35" s="71" t="n">
        <v>-366</v>
      </c>
      <c r="C35" s="71" t="n">
        <v>-510</v>
      </c>
      <c r="D35" s="71" t="n">
        <v>-4296</v>
      </c>
      <c r="E35" s="71" t="n">
        <v>-8464</v>
      </c>
      <c r="F35" s="71" t="n">
        <v>-1</v>
      </c>
      <c r="G35" s="71" t="n">
        <v>-368</v>
      </c>
      <c r="H35" s="53" t="n">
        <v>-102</v>
      </c>
    </row>
    <row r="36" customFormat="false" ht="15" hidden="false" customHeight="true" outlineLevel="0" collapsed="false">
      <c r="A36" s="7" t="s">
        <v>377</v>
      </c>
      <c r="B36" s="71" t="n">
        <v>-4108</v>
      </c>
      <c r="C36" s="71" t="n">
        <v>-2598</v>
      </c>
      <c r="D36" s="71" t="n">
        <v>-12514</v>
      </c>
      <c r="E36" s="71" t="n">
        <v>6977</v>
      </c>
      <c r="F36" s="71" t="n">
        <v>8273</v>
      </c>
      <c r="G36" s="71" t="n">
        <v>1450</v>
      </c>
      <c r="H36" s="53" t="n">
        <v>-445</v>
      </c>
    </row>
    <row r="37" customFormat="false" ht="15" hidden="false" customHeight="true" outlineLevel="0" collapsed="false">
      <c r="A37" s="7" t="s">
        <v>378</v>
      </c>
      <c r="B37" s="75" t="n">
        <f aca="false">B35+B36</f>
        <v>-4474</v>
      </c>
      <c r="C37" s="75" t="n">
        <f aca="false">C35+C36</f>
        <v>-3108</v>
      </c>
      <c r="D37" s="75" t="n">
        <f aca="false">D35+D36</f>
        <v>-16810</v>
      </c>
      <c r="E37" s="75" t="n">
        <f aca="false">E35+E36</f>
        <v>-1487</v>
      </c>
      <c r="F37" s="75" t="n">
        <f aca="false">F35+F36</f>
        <v>8272</v>
      </c>
      <c r="G37" s="75" t="n">
        <f aca="false">G35+G36</f>
        <v>1082</v>
      </c>
      <c r="H37" s="75" t="n">
        <f aca="false">H35+H36</f>
        <v>-547</v>
      </c>
    </row>
    <row r="39" customFormat="false" ht="15" hidden="false" customHeight="true" outlineLevel="0" collapsed="false">
      <c r="A39" s="11" t="s">
        <v>379</v>
      </c>
      <c r="B39" s="73" t="n">
        <f aca="false">B34+B37</f>
        <v>289882</v>
      </c>
      <c r="C39" s="73" t="n">
        <f aca="false">C34+C37</f>
        <v>113725</v>
      </c>
      <c r="D39" s="73" t="n">
        <f aca="false">D34+D37</f>
        <v>247025</v>
      </c>
      <c r="E39" s="73" t="n">
        <f aca="false">E34+E37</f>
        <v>296441</v>
      </c>
      <c r="F39" s="73" t="n">
        <f aca="false">F34+F37</f>
        <v>201274</v>
      </c>
      <c r="G39" s="73" t="n">
        <f aca="false">G34+G37</f>
        <v>215325</v>
      </c>
      <c r="H39" s="75" t="n">
        <f aca="false">H34+H37</f>
        <v>72465</v>
      </c>
    </row>
    <row r="40" customFormat="false" ht="15" hidden="false" customHeight="true" outlineLevel="0" collapsed="false">
      <c r="A40" s="3" t="s">
        <v>380</v>
      </c>
      <c r="B40" s="74" t="n">
        <v>115000</v>
      </c>
      <c r="C40" s="74" t="n">
        <v>113725</v>
      </c>
      <c r="D40" s="74" t="n">
        <v>247025</v>
      </c>
      <c r="E40" s="74" t="n">
        <v>296441</v>
      </c>
      <c r="F40" s="74" t="n">
        <v>201274</v>
      </c>
      <c r="G40" s="74" t="n">
        <v>215325</v>
      </c>
      <c r="H40" s="49" t="n">
        <v>72465</v>
      </c>
    </row>
    <row r="41" customFormat="false" ht="15" hidden="false" customHeight="true" outlineLevel="0" collapsed="false">
      <c r="A41" s="3" t="s">
        <v>381</v>
      </c>
      <c r="B41" s="61" t="n">
        <f aca="false">B39-B40</f>
        <v>174882</v>
      </c>
      <c r="C41" s="61" t="n">
        <f aca="false">C39-C40</f>
        <v>0</v>
      </c>
      <c r="D41" s="61" t="n">
        <f aca="false">D39-D40</f>
        <v>0</v>
      </c>
      <c r="E41" s="61" t="n">
        <f aca="false">E39-E40</f>
        <v>0</v>
      </c>
      <c r="F41" s="61" t="n">
        <f aca="false">F39-F40</f>
        <v>0</v>
      </c>
      <c r="G41" s="61" t="n">
        <f aca="false">G39-G40</f>
        <v>0</v>
      </c>
      <c r="H41" s="62" t="n">
        <f aca="false">H39-H40</f>
        <v>0</v>
      </c>
    </row>
    <row r="42" customFormat="false" ht="15" hidden="false" customHeight="true" outlineLevel="0" collapsed="false">
      <c r="A42" s="7" t="s">
        <v>37</v>
      </c>
      <c r="B42" s="71" t="n">
        <v>78695</v>
      </c>
      <c r="C42" s="71" t="n">
        <v>98940</v>
      </c>
      <c r="D42" s="71" t="n">
        <v>121603</v>
      </c>
      <c r="E42" s="71" t="n">
        <v>144491</v>
      </c>
      <c r="F42" s="71" t="n">
        <v>162271</v>
      </c>
      <c r="G42" s="71" t="n">
        <v>170813</v>
      </c>
      <c r="H42" s="53" t="n">
        <v>182071</v>
      </c>
    </row>
    <row r="43" customFormat="false" ht="15" hidden="false" customHeight="true" outlineLevel="0" collapsed="false">
      <c r="A43" s="7" t="s">
        <v>382</v>
      </c>
      <c r="B43" s="20" t="n">
        <f aca="false">IF(B42=0,"",B39/B42)</f>
        <v>3.68361395260182</v>
      </c>
      <c r="C43" s="20" t="n">
        <f aca="false">IF(C42=0,"",C39/C42)</f>
        <v>1.14943400040429</v>
      </c>
      <c r="D43" s="20" t="n">
        <f aca="false">IF(D42=0,"",D39/D42)</f>
        <v>2.03140547519387</v>
      </c>
      <c r="E43" s="20" t="n">
        <f aca="false">IF(E42=0,"",E39/E42)</f>
        <v>2.0516225924106</v>
      </c>
      <c r="F43" s="20" t="n">
        <f aca="false">IF(F42=0,"",F39/F42)</f>
        <v>1.24035718027251</v>
      </c>
      <c r="G43" s="20" t="n">
        <f aca="false">IF(G42=0,"",G39/G42)</f>
        <v>1.26058906523508</v>
      </c>
      <c r="H43" s="20" t="n">
        <f aca="false">IF(H42=0,"",H39/H42)</f>
        <v>0.398004075333249</v>
      </c>
    </row>
    <row r="45" customFormat="false" ht="15" hidden="false" customHeight="true" outlineLevel="0" collapsed="false">
      <c r="A45" s="5" t="s">
        <v>383</v>
      </c>
      <c r="B45" s="6"/>
      <c r="C45" s="6"/>
      <c r="D45" s="6"/>
      <c r="E45" s="6"/>
      <c r="F45" s="6"/>
      <c r="G45" s="6"/>
      <c r="H45" s="6"/>
    </row>
    <row r="46" customFormat="false" ht="15" hidden="false" customHeight="true" outlineLevel="0" collapsed="false">
      <c r="A46" s="7" t="s">
        <v>384</v>
      </c>
      <c r="C46" s="71" t="n">
        <v>-26352</v>
      </c>
      <c r="D46" s="71" t="n">
        <v>-34624</v>
      </c>
      <c r="E46" s="71" t="n">
        <v>-63463</v>
      </c>
      <c r="F46" s="71" t="n">
        <v>-76817</v>
      </c>
      <c r="G46" s="71" t="n">
        <v>-87799</v>
      </c>
      <c r="H46" s="53" t="n">
        <v>-68279</v>
      </c>
    </row>
    <row r="47" customFormat="false" ht="15" hidden="false" customHeight="true" outlineLevel="0" collapsed="false">
      <c r="A47" s="7" t="s">
        <v>385</v>
      </c>
      <c r="F47" s="71" t="n">
        <v>-6477</v>
      </c>
      <c r="G47" s="71" t="n">
        <v>-12841</v>
      </c>
      <c r="H47" s="53" t="n">
        <v>-3172</v>
      </c>
    </row>
    <row r="48" customFormat="false" ht="15" hidden="false" customHeight="true" outlineLevel="0" collapsed="false">
      <c r="A48" s="7" t="s">
        <v>386</v>
      </c>
      <c r="F48" s="71" t="n">
        <v>-153</v>
      </c>
      <c r="G48" s="71" t="n">
        <v>-411</v>
      </c>
      <c r="H48" s="53" t="n">
        <v>-1645</v>
      </c>
    </row>
    <row r="49" customFormat="false" ht="15" hidden="false" customHeight="true" outlineLevel="0" collapsed="false">
      <c r="A49" s="7" t="s">
        <v>387</v>
      </c>
      <c r="C49" s="71" t="n">
        <v>-1602</v>
      </c>
      <c r="D49" s="71" t="n">
        <v>-1613</v>
      </c>
      <c r="E49" s="71" t="n">
        <v>-3975</v>
      </c>
      <c r="F49" s="71" t="n">
        <v>-2385</v>
      </c>
      <c r="G49" s="71" t="n">
        <v>-3122</v>
      </c>
      <c r="H49" s="53" t="n">
        <v>-2287</v>
      </c>
    </row>
    <row r="50" customFormat="false" ht="15" hidden="false" customHeight="true" outlineLevel="0" collapsed="false">
      <c r="A50" s="7" t="s">
        <v>388</v>
      </c>
      <c r="C50" s="71" t="n">
        <v>-863</v>
      </c>
      <c r="D50" s="71" t="n">
        <v>-1460</v>
      </c>
      <c r="E50" s="71" t="n">
        <v>-2868</v>
      </c>
      <c r="F50" s="71" t="n">
        <v>-1669</v>
      </c>
      <c r="G50" s="71" t="n">
        <v>-2009</v>
      </c>
      <c r="H50" s="53" t="n">
        <v>-1876</v>
      </c>
    </row>
    <row r="52" customFormat="false" ht="15" hidden="false" customHeight="true" outlineLevel="0" collapsed="false">
      <c r="A52" s="5" t="s">
        <v>389</v>
      </c>
      <c r="B52" s="6"/>
      <c r="C52" s="6"/>
      <c r="D52" s="6"/>
      <c r="E52" s="6"/>
      <c r="F52" s="6"/>
      <c r="G52" s="6"/>
      <c r="H52" s="6"/>
    </row>
    <row r="53" customFormat="false" ht="15" hidden="false" customHeight="true" outlineLevel="0" collapsed="false">
      <c r="A53" s="7" t="s">
        <v>390</v>
      </c>
      <c r="B53" s="71"/>
      <c r="C53" s="71" t="n">
        <v>-15733</v>
      </c>
      <c r="D53" s="71" t="n">
        <v>-16725</v>
      </c>
      <c r="E53" s="71" t="n">
        <v>-21631</v>
      </c>
      <c r="F53" s="71" t="n">
        <v>-23378</v>
      </c>
      <c r="G53" s="71" t="n">
        <v>-21062</v>
      </c>
      <c r="H53" s="53" t="n">
        <v>-16233</v>
      </c>
    </row>
    <row r="54" customFormat="false" ht="15" hidden="false" customHeight="true" outlineLevel="0" collapsed="false">
      <c r="A54" s="7" t="s">
        <v>391</v>
      </c>
      <c r="C54" s="71" t="n">
        <v>-2122</v>
      </c>
      <c r="D54" s="71" t="n">
        <v>-2346</v>
      </c>
      <c r="E54" s="71" t="n">
        <v>-3103</v>
      </c>
      <c r="F54" s="71" t="n">
        <v>-4107</v>
      </c>
      <c r="G54" s="71" t="n">
        <v>-3461</v>
      </c>
      <c r="H54" s="53" t="n">
        <v>-3200</v>
      </c>
    </row>
    <row r="55" customFormat="false" ht="15" hidden="false" customHeight="true" outlineLevel="0" collapsed="false">
      <c r="A55" s="7" t="s">
        <v>392</v>
      </c>
      <c r="C55" s="71" t="n">
        <v>-1628</v>
      </c>
      <c r="D55" s="71" t="n">
        <v>-2512</v>
      </c>
      <c r="E55" s="71" t="n">
        <v>-2612</v>
      </c>
      <c r="F55" s="71" t="n">
        <v>-2829</v>
      </c>
      <c r="G55" s="71" t="n">
        <v>-2981</v>
      </c>
      <c r="H55" s="53" t="n">
        <v>-2562</v>
      </c>
    </row>
    <row r="56" customFormat="false" ht="15" hidden="false" customHeight="true" outlineLevel="0" collapsed="false">
      <c r="A56" s="7" t="s">
        <v>393</v>
      </c>
      <c r="C56" s="71" t="n">
        <v>-1084</v>
      </c>
      <c r="D56" s="71" t="n">
        <v>-1661</v>
      </c>
      <c r="E56" s="71" t="n">
        <v>-1745</v>
      </c>
      <c r="F56" s="71" t="n">
        <v>-2472</v>
      </c>
      <c r="G56" s="71" t="n">
        <v>-1710</v>
      </c>
      <c r="H56" s="53" t="n">
        <v>-1375</v>
      </c>
    </row>
    <row r="57" customFormat="false" ht="15" hidden="false" customHeight="true" outlineLevel="0" collapsed="false">
      <c r="A57" s="7" t="s">
        <v>394</v>
      </c>
      <c r="C57" s="71" t="n">
        <v>-1769</v>
      </c>
      <c r="D57" s="71" t="n">
        <v>-3093</v>
      </c>
      <c r="E57" s="71" t="n">
        <v>-3271</v>
      </c>
      <c r="F57" s="71" t="n">
        <v>-3650</v>
      </c>
      <c r="G57" s="71" t="n">
        <v>-3843</v>
      </c>
      <c r="H57" s="53" t="n">
        <v>-3335</v>
      </c>
    </row>
    <row r="58" customFormat="false" ht="15" hidden="false" customHeight="true" outlineLevel="0" collapsed="false">
      <c r="A58" s="7" t="s">
        <v>395</v>
      </c>
      <c r="C58" s="71" t="n">
        <v>-2218</v>
      </c>
      <c r="D58" s="71" t="n">
        <v>-1816</v>
      </c>
      <c r="E58" s="71" t="n">
        <v>-2466</v>
      </c>
      <c r="F58" s="71" t="n">
        <v>-3138</v>
      </c>
      <c r="G58" s="71" t="n">
        <v>-3257</v>
      </c>
      <c r="H58" s="53" t="n">
        <v>-3161</v>
      </c>
    </row>
    <row r="59" customFormat="false" ht="15" hidden="false" customHeight="true" outlineLevel="0" collapsed="false">
      <c r="A59" s="7" t="s">
        <v>396</v>
      </c>
      <c r="C59" s="71" t="n">
        <v>-879</v>
      </c>
      <c r="D59" s="71" t="n">
        <v>-922</v>
      </c>
      <c r="E59" s="71" t="n">
        <v>-867</v>
      </c>
      <c r="F59" s="71" t="n">
        <v>-790</v>
      </c>
      <c r="G59" s="71" t="n">
        <v>-797</v>
      </c>
      <c r="H59" s="53" t="n">
        <v>-670</v>
      </c>
    </row>
    <row r="60" customFormat="false" ht="15" hidden="false" customHeight="true" outlineLevel="0" collapsed="false">
      <c r="A60" s="11" t="s">
        <v>397</v>
      </c>
      <c r="B60" s="73" t="n">
        <f aca="false">SUM(B53:B59)</f>
        <v>0</v>
      </c>
      <c r="C60" s="73" t="n">
        <f aca="false">SUM(C53:C59)</f>
        <v>-25433</v>
      </c>
      <c r="D60" s="73" t="n">
        <f aca="false">SUM(D53:D59)</f>
        <v>-29075</v>
      </c>
      <c r="E60" s="73" t="n">
        <f aca="false">SUM(E53:E59)</f>
        <v>-35695</v>
      </c>
      <c r="F60" s="73" t="n">
        <f aca="false">SUM(F53:F59)</f>
        <v>-40364</v>
      </c>
      <c r="G60" s="73" t="n">
        <f aca="false">SUM(G53:G59)</f>
        <v>-37111</v>
      </c>
      <c r="H60" s="75" t="n">
        <f aca="false">SUM(H53:H59)</f>
        <v>-30536</v>
      </c>
    </row>
    <row r="61" customFormat="false" ht="15" hidden="false" customHeight="true" outlineLevel="0" collapsed="false">
      <c r="A61" s="76" t="s">
        <v>398</v>
      </c>
      <c r="B61" s="77" t="n">
        <f aca="false">B30</f>
        <v>-19042</v>
      </c>
      <c r="C61" s="77" t="n">
        <f aca="false">C30</f>
        <v>-25433</v>
      </c>
      <c r="D61" s="77" t="n">
        <f aca="false">D30</f>
        <v>-29075</v>
      </c>
      <c r="E61" s="77" t="n">
        <f aca="false">E30</f>
        <v>-35695</v>
      </c>
      <c r="F61" s="77" t="n">
        <f aca="false">F30</f>
        <v>-40364</v>
      </c>
      <c r="G61" s="77" t="n">
        <f aca="false">G30</f>
        <v>-37111</v>
      </c>
      <c r="H61" s="78" t="n">
        <f aca="false">H30</f>
        <v>-30536</v>
      </c>
    </row>
    <row r="62" customFormat="false" ht="15" hidden="false" customHeight="true" outlineLevel="0" collapsed="false">
      <c r="A62" s="3" t="s">
        <v>381</v>
      </c>
      <c r="B62" s="61" t="n">
        <f aca="false">B60-B61</f>
        <v>19042</v>
      </c>
      <c r="C62" s="61" t="n">
        <f aca="false">C60-C61</f>
        <v>0</v>
      </c>
      <c r="D62" s="61" t="n">
        <f aca="false">D60-D61</f>
        <v>0</v>
      </c>
      <c r="E62" s="61" t="n">
        <f aca="false">E60-E61</f>
        <v>0</v>
      </c>
      <c r="F62" s="61" t="n">
        <f aca="false">F60-F61</f>
        <v>0</v>
      </c>
      <c r="G62" s="61" t="n">
        <f aca="false">G60-G61</f>
        <v>0</v>
      </c>
      <c r="H62" s="62" t="n">
        <f aca="false">H60-H61</f>
        <v>0</v>
      </c>
    </row>
    <row r="63" customFormat="false" ht="15" hidden="false" customHeight="true" outlineLevel="0" collapsed="false">
      <c r="A63" s="7"/>
      <c r="B63" s="7"/>
      <c r="C63" s="7"/>
      <c r="D63" s="7"/>
      <c r="E63" s="7"/>
      <c r="F63" s="7"/>
      <c r="G63" s="7"/>
      <c r="H63" s="7"/>
    </row>
    <row r="64" customFormat="false" ht="15" hidden="false" customHeight="true" outlineLevel="0" collapsed="false">
      <c r="A64" s="5" t="s">
        <v>399</v>
      </c>
      <c r="B64" s="46"/>
      <c r="C64" s="46"/>
      <c r="D64" s="46"/>
      <c r="E64" s="46"/>
      <c r="F64" s="46"/>
      <c r="G64" s="46"/>
      <c r="H64" s="79"/>
    </row>
    <row r="65" customFormat="false" ht="15" hidden="false" customHeight="true" outlineLevel="0" collapsed="false">
      <c r="A65" s="11" t="s">
        <v>400</v>
      </c>
      <c r="B65" s="10" t="n">
        <f aca="false">B17</f>
        <v>61790</v>
      </c>
      <c r="C65" s="10" t="n">
        <f aca="false">C17</f>
        <v>80752</v>
      </c>
      <c r="D65" s="10" t="n">
        <f aca="false">D17</f>
        <v>97812</v>
      </c>
      <c r="E65" s="10" t="n">
        <f aca="false">E17</f>
        <v>160041</v>
      </c>
      <c r="F65" s="10" t="n">
        <f aca="false">F17</f>
        <v>204755</v>
      </c>
      <c r="G65" s="10" t="n">
        <f aca="false">G17</f>
        <v>227787</v>
      </c>
      <c r="H65" s="12" t="n">
        <f aca="false">H17</f>
        <v>176188</v>
      </c>
    </row>
    <row r="66" customFormat="false" ht="15" hidden="false" customHeight="true" outlineLevel="0" collapsed="false">
      <c r="A66" s="7" t="s">
        <v>401</v>
      </c>
      <c r="B66" s="53" t="n">
        <v>0</v>
      </c>
      <c r="C66" s="53" t="n">
        <v>4291</v>
      </c>
      <c r="D66" s="53" t="n">
        <v>9960</v>
      </c>
      <c r="E66" s="53" t="n">
        <v>15514</v>
      </c>
      <c r="F66" s="53" t="n">
        <v>16289</v>
      </c>
      <c r="G66" s="53" t="n">
        <v>18334</v>
      </c>
      <c r="H66" s="53" t="n">
        <v>777</v>
      </c>
    </row>
    <row r="67" customFormat="false" ht="15" hidden="false" customHeight="true" outlineLevel="0" collapsed="false">
      <c r="A67" s="11" t="s">
        <v>402</v>
      </c>
      <c r="B67" s="21" t="n">
        <f aca="false">B65+B66</f>
        <v>61790</v>
      </c>
      <c r="C67" s="21" t="n">
        <f aca="false">C65+C66</f>
        <v>85043</v>
      </c>
      <c r="D67" s="21" t="n">
        <f aca="false">D65+D66</f>
        <v>107772</v>
      </c>
      <c r="E67" s="21" t="n">
        <f aca="false">E65+E66</f>
        <v>175555</v>
      </c>
      <c r="F67" s="21" t="n">
        <f aca="false">F65+F66</f>
        <v>221044</v>
      </c>
      <c r="G67" s="21" t="n">
        <f aca="false">G65+G66</f>
        <v>246121</v>
      </c>
      <c r="H67" s="53" t="n">
        <v>-5519</v>
      </c>
    </row>
    <row r="68" customFormat="false" ht="15" hidden="false" customHeight="true" outlineLevel="0" collapsed="false">
      <c r="A68" s="3" t="s">
        <v>403</v>
      </c>
      <c r="B68" s="49" t="n">
        <v>61790</v>
      </c>
      <c r="C68" s="49" t="n">
        <v>85043</v>
      </c>
      <c r="D68" s="49" t="n">
        <v>107772</v>
      </c>
      <c r="E68" s="49" t="n">
        <v>175555</v>
      </c>
      <c r="F68" s="49" t="n">
        <v>221044</v>
      </c>
      <c r="G68" s="49" t="n">
        <v>246121</v>
      </c>
      <c r="H68" s="7"/>
    </row>
    <row r="69" customFormat="false" ht="15" hidden="false" customHeight="true" outlineLevel="0" collapsed="false">
      <c r="A69" s="7"/>
      <c r="B69" s="7"/>
      <c r="C69" s="7"/>
      <c r="D69" s="7"/>
      <c r="E69" s="7"/>
      <c r="F69" s="7"/>
      <c r="G69" s="7"/>
      <c r="H69" s="7"/>
    </row>
    <row r="70" customFormat="false" ht="15" hidden="false" customHeight="true" outlineLevel="0" collapsed="false">
      <c r="A70" s="11" t="s">
        <v>404</v>
      </c>
      <c r="B70" s="65" t="n">
        <v>77922</v>
      </c>
      <c r="C70" s="65" t="n">
        <v>108805</v>
      </c>
      <c r="D70" s="65" t="n">
        <v>141294</v>
      </c>
      <c r="E70" s="65" t="n">
        <v>223026</v>
      </c>
      <c r="F70" s="65" t="n">
        <v>258946</v>
      </c>
      <c r="G70" s="65" t="n">
        <v>282971</v>
      </c>
      <c r="H70" s="53"/>
    </row>
    <row r="71" customFormat="false" ht="15" hidden="false" customHeight="true" outlineLevel="0" collapsed="false">
      <c r="A71" s="7" t="s">
        <v>405</v>
      </c>
      <c r="B71" s="12" t="n">
        <f aca="false">B70-B65</f>
        <v>16132</v>
      </c>
      <c r="C71" s="12" t="n">
        <f aca="false">C70-C65</f>
        <v>28053</v>
      </c>
      <c r="D71" s="12" t="n">
        <f aca="false">D70-D65</f>
        <v>43482</v>
      </c>
      <c r="E71" s="12" t="n">
        <f aca="false">E70-E65</f>
        <v>62985</v>
      </c>
      <c r="F71" s="12" t="n">
        <f aca="false">F70-F65</f>
        <v>54191</v>
      </c>
      <c r="G71" s="12" t="n">
        <f aca="false">G70-G65</f>
        <v>55184</v>
      </c>
      <c r="H71" s="12" t="n">
        <f aca="false">H70-H65</f>
        <v>-176188</v>
      </c>
    </row>
    <row r="72" customFormat="false" ht="15" hidden="false" customHeight="true" outlineLevel="0" collapsed="false">
      <c r="A72" s="7" t="s">
        <v>406</v>
      </c>
      <c r="B72" s="13" t="n">
        <f aca="false">IF(B65=0,"",B70/B65-1)</f>
        <v>0.261077844311377</v>
      </c>
      <c r="C72" s="13" t="n">
        <f aca="false">IF(C65=0,"",C70/C65-1)</f>
        <v>0.347396968496136</v>
      </c>
      <c r="D72" s="13" t="n">
        <f aca="false">IF(D65=0,"",D70/D65-1)</f>
        <v>0.444546681388787</v>
      </c>
      <c r="E72" s="13" t="n">
        <f aca="false">IF(E65=0,"",E70/E65-1)</f>
        <v>0.393555401428384</v>
      </c>
      <c r="F72" s="13" t="n">
        <f aca="false">IF(F65=0,"",F70/F65-1)</f>
        <v>0.26466264560084</v>
      </c>
      <c r="G72" s="13" t="n">
        <f aca="false">IF(G65=0,"",G70/G65-1)</f>
        <v>0.242261410879462</v>
      </c>
      <c r="H72" s="13" t="n">
        <f aca="false">IF(H65=0,"",H70/H65-1)</f>
        <v>-1</v>
      </c>
    </row>
    <row r="73" customFormat="false" ht="15" hidden="false" customHeight="true" outlineLevel="0" collapsed="false">
      <c r="A73" s="7" t="s">
        <v>407</v>
      </c>
      <c r="B73" s="53" t="n">
        <v>14510</v>
      </c>
      <c r="C73" s="53" t="n">
        <v>11356</v>
      </c>
      <c r="D73" s="53" t="n">
        <v>13500</v>
      </c>
      <c r="E73" s="53" t="n">
        <v>21971</v>
      </c>
      <c r="F73" s="53" t="n">
        <v>34558</v>
      </c>
      <c r="G73" s="53" t="n">
        <v>37978</v>
      </c>
      <c r="H73" s="7"/>
    </row>
    <row r="74" customFormat="false" ht="15" hidden="false" customHeight="true" outlineLevel="0" collapsed="false">
      <c r="A74" s="7" t="s">
        <v>408</v>
      </c>
      <c r="B74" s="80"/>
      <c r="C74" s="53" t="n">
        <v>8316</v>
      </c>
      <c r="D74" s="53" t="n">
        <v>20900</v>
      </c>
      <c r="E74" s="53" t="n">
        <v>24696</v>
      </c>
      <c r="F74" s="53" t="n">
        <v>32168</v>
      </c>
      <c r="G74" s="53" t="n">
        <v>36770</v>
      </c>
      <c r="H74" s="7"/>
    </row>
    <row r="75" customFormat="false" ht="15" hidden="false" customHeight="true" outlineLevel="0" collapsed="false">
      <c r="A75" s="7"/>
      <c r="B75" s="81"/>
      <c r="C75" s="81"/>
      <c r="D75" s="81"/>
      <c r="E75" s="81"/>
      <c r="F75" s="81"/>
      <c r="G75" s="81"/>
      <c r="H75" s="7"/>
    </row>
    <row r="76" customFormat="false" ht="15" hidden="false" customHeight="true" outlineLevel="0" collapsed="false">
      <c r="A76" s="5" t="s">
        <v>409</v>
      </c>
      <c r="B76" s="46"/>
      <c r="C76" s="82"/>
      <c r="D76" s="82"/>
      <c r="E76" s="82"/>
      <c r="F76" s="82"/>
      <c r="G76" s="82"/>
      <c r="H76" s="46"/>
    </row>
    <row r="77" customFormat="false" ht="15" hidden="false" customHeight="true" outlineLevel="0" collapsed="false">
      <c r="A77" s="3" t="s">
        <v>410</v>
      </c>
      <c r="B77" s="83"/>
      <c r="C77" s="83"/>
      <c r="D77" s="83"/>
      <c r="E77" s="83"/>
      <c r="F77" s="83"/>
      <c r="G77" s="83"/>
      <c r="H77" s="7"/>
    </row>
    <row r="78" customFormat="false" ht="15" hidden="false" customHeight="true" outlineLevel="0" collapsed="false">
      <c r="A78" s="7"/>
      <c r="B78" s="81"/>
      <c r="C78" s="81"/>
      <c r="D78" s="81"/>
      <c r="E78" s="81"/>
      <c r="F78" s="81"/>
      <c r="G78" s="81"/>
      <c r="H78" s="7"/>
    </row>
    <row r="79" customFormat="false" ht="15" hidden="false" customHeight="true" outlineLevel="0" collapsed="false">
      <c r="A79" s="7" t="s">
        <v>411</v>
      </c>
      <c r="B79" s="7"/>
      <c r="C79" s="10" t="n">
        <f aca="false">B17</f>
        <v>61790</v>
      </c>
      <c r="D79" s="10" t="n">
        <f aca="false">C17</f>
        <v>80752</v>
      </c>
      <c r="E79" s="10" t="n">
        <f aca="false">D17</f>
        <v>97812</v>
      </c>
      <c r="F79" s="10" t="n">
        <f aca="false">E17</f>
        <v>160041</v>
      </c>
      <c r="G79" s="10" t="n">
        <f aca="false">F17</f>
        <v>204755</v>
      </c>
      <c r="H79" s="12" t="n">
        <f aca="false">F17</f>
        <v>204755</v>
      </c>
    </row>
    <row r="80" customFormat="false" ht="15" hidden="false" customHeight="true" outlineLevel="0" collapsed="false">
      <c r="A80" s="7" t="s">
        <v>412</v>
      </c>
      <c r="B80" s="7"/>
      <c r="C80" s="66" t="n">
        <v>0.012</v>
      </c>
      <c r="D80" s="66" t="n">
        <v>-0.005</v>
      </c>
      <c r="E80" s="66" t="n">
        <v>0.1</v>
      </c>
      <c r="F80" s="66" t="n">
        <v>0.1098</v>
      </c>
      <c r="G80" s="66" t="n">
        <v>0.0863</v>
      </c>
      <c r="H80" s="7"/>
    </row>
    <row r="81" customFormat="false" ht="15" hidden="false" customHeight="true" outlineLevel="0" collapsed="false">
      <c r="A81" s="7" t="s">
        <v>413</v>
      </c>
      <c r="B81" s="7"/>
      <c r="C81" s="12" t="n">
        <f aca="false">C79*C80</f>
        <v>741.48</v>
      </c>
      <c r="D81" s="12" t="n">
        <f aca="false">D79*D80</f>
        <v>-403.76</v>
      </c>
      <c r="E81" s="12" t="n">
        <f aca="false">E79*E80</f>
        <v>9781.2</v>
      </c>
      <c r="F81" s="12" t="n">
        <f aca="false">F79*F80</f>
        <v>17572.5018</v>
      </c>
      <c r="G81" s="12" t="n">
        <f aca="false">G79*G80</f>
        <v>17670.3565</v>
      </c>
      <c r="H81" s="12" t="n">
        <f aca="false">H79*H80</f>
        <v>0</v>
      </c>
    </row>
    <row r="82" customFormat="false" ht="15" hidden="false" customHeight="true" outlineLevel="0" collapsed="false">
      <c r="A82" s="7" t="s">
        <v>69</v>
      </c>
      <c r="B82" s="7"/>
      <c r="C82" s="12" t="n">
        <f aca="false">B70-B17</f>
        <v>16132</v>
      </c>
      <c r="D82" s="12" t="n">
        <f aca="false">C70-C17</f>
        <v>28053</v>
      </c>
      <c r="E82" s="12" t="n">
        <f aca="false">D70-D17</f>
        <v>43482</v>
      </c>
      <c r="F82" s="12" t="n">
        <f aca="false">E70-E17</f>
        <v>62985</v>
      </c>
      <c r="G82" s="12" t="n">
        <f aca="false">F70-F17</f>
        <v>54191</v>
      </c>
      <c r="H82" s="12" t="n">
        <f aca="false">F70-F17</f>
        <v>54191</v>
      </c>
    </row>
    <row r="83" customFormat="false" ht="15" hidden="false" customHeight="true" outlineLevel="0" collapsed="false">
      <c r="A83" s="11" t="s">
        <v>414</v>
      </c>
      <c r="B83" s="7"/>
      <c r="C83" s="29" t="n">
        <f aca="false">IF(C82=0,"",C81/C82)</f>
        <v>0.0459633027522936</v>
      </c>
      <c r="D83" s="29" t="n">
        <f aca="false">IF(D82=0,"",D81/D82)</f>
        <v>-0.014392756567925</v>
      </c>
      <c r="E83" s="29" t="n">
        <f aca="false">IF(E82=0,"",E81/E82)</f>
        <v>0.224948254450117</v>
      </c>
      <c r="F83" s="29" t="n">
        <f aca="false">IF(F82=0,"",F81/F82)</f>
        <v>0.278995027387473</v>
      </c>
      <c r="G83" s="29" t="n">
        <f aca="false">IF(G82=0,"",G81/G82)</f>
        <v>0.326075483013785</v>
      </c>
      <c r="H83" s="13" t="n">
        <f aca="false">IF(H82=0,"",H81/H82)</f>
        <v>0</v>
      </c>
    </row>
    <row r="84" customFormat="false" ht="15" hidden="false" customHeight="true" outlineLevel="0" collapsed="false">
      <c r="A84" s="7" t="s">
        <v>415</v>
      </c>
      <c r="B84" s="7"/>
      <c r="C84" s="12" t="n">
        <f aca="false">C79+C81</f>
        <v>62531.48</v>
      </c>
      <c r="D84" s="12" t="n">
        <f aca="false">D79+D81</f>
        <v>80348.24</v>
      </c>
      <c r="E84" s="12" t="n">
        <f aca="false">E79+E81</f>
        <v>107593.2</v>
      </c>
      <c r="F84" s="12" t="n">
        <f aca="false">F79+F81</f>
        <v>177613.5018</v>
      </c>
      <c r="G84" s="12" t="n">
        <f aca="false">G79+G81</f>
        <v>222425.3565</v>
      </c>
      <c r="H84" s="12" t="n">
        <f aca="false">H79+H81</f>
        <v>204755</v>
      </c>
    </row>
    <row r="85" customFormat="false" ht="15" hidden="false" customHeight="true" outlineLevel="0" collapsed="false">
      <c r="A85" s="7" t="s">
        <v>416</v>
      </c>
      <c r="B85" s="7"/>
      <c r="C85" s="10" t="n">
        <f aca="false">B70</f>
        <v>77922</v>
      </c>
      <c r="D85" s="10" t="n">
        <f aca="false">C70</f>
        <v>108805</v>
      </c>
      <c r="E85" s="10" t="n">
        <f aca="false">D70</f>
        <v>141294</v>
      </c>
      <c r="F85" s="10" t="n">
        <f aca="false">E70</f>
        <v>223026</v>
      </c>
      <c r="G85" s="10" t="n">
        <f aca="false">F70</f>
        <v>258946</v>
      </c>
      <c r="H85" s="12" t="n">
        <f aca="false">F70</f>
        <v>258946</v>
      </c>
    </row>
    <row r="86" customFormat="false" ht="15" hidden="false" customHeight="true" outlineLevel="0" collapsed="false">
      <c r="A86" s="11" t="s">
        <v>417</v>
      </c>
      <c r="B86" s="7"/>
      <c r="C86" s="84" t="n">
        <f aca="false">C84-C85</f>
        <v>-15390.52</v>
      </c>
      <c r="D86" s="84" t="n">
        <f aca="false">D84-D85</f>
        <v>-28456.76</v>
      </c>
      <c r="E86" s="84" t="n">
        <f aca="false">E84-E85</f>
        <v>-33700.8</v>
      </c>
      <c r="F86" s="84" t="n">
        <f aca="false">F84-F85</f>
        <v>-45412.4982</v>
      </c>
      <c r="G86" s="84" t="n">
        <f aca="false">G84-G85</f>
        <v>-36520.6435</v>
      </c>
      <c r="H86" s="75" t="n">
        <f aca="false">H84-H85</f>
        <v>-54191</v>
      </c>
    </row>
    <row r="87" customFormat="false" ht="15" hidden="false" customHeight="true" outlineLevel="0" collapsed="false">
      <c r="A87" s="7" t="s">
        <v>418</v>
      </c>
      <c r="B87" s="7"/>
      <c r="C87" s="13" t="n">
        <f aca="false">IF(C85=0,"",C84/C85-1)</f>
        <v>-0.197511870845204</v>
      </c>
      <c r="D87" s="13" t="n">
        <f aca="false">IF(D85=0,"",D84/D85-1)</f>
        <v>-0.261539083681816</v>
      </c>
      <c r="E87" s="13" t="n">
        <f aca="false">IF(E85=0,"",E84/E85-1)</f>
        <v>-0.238515435899614</v>
      </c>
      <c r="F87" s="13" t="n">
        <f aca="false">IF(F85=0,"",F84/F85-1)</f>
        <v>-0.203619749266902</v>
      </c>
      <c r="G87" s="13" t="n">
        <f aca="false">IF(G85=0,"",G84/G85-1)</f>
        <v>-0.141035750697057</v>
      </c>
      <c r="H87" s="13" t="n">
        <f aca="false">IF(H85=0,"",H84/H85-1)</f>
        <v>-0.209275292918215</v>
      </c>
    </row>
    <row r="88" customFormat="false" ht="15" hidden="false" customHeight="true" outlineLevel="0" collapsed="false">
      <c r="A88" s="7"/>
      <c r="B88" s="7"/>
      <c r="C88" s="80"/>
      <c r="D88" s="80"/>
      <c r="E88" s="80"/>
      <c r="F88" s="80"/>
      <c r="G88" s="80"/>
      <c r="H88" s="7"/>
    </row>
    <row r="89" customFormat="false" ht="15" hidden="false" customHeight="true" outlineLevel="0" collapsed="false">
      <c r="A89" s="3" t="s">
        <v>419</v>
      </c>
      <c r="B89" s="7"/>
      <c r="C89" s="80"/>
      <c r="D89" s="80"/>
      <c r="E89" s="80"/>
      <c r="F89" s="80"/>
      <c r="G89" s="80"/>
      <c r="H89" s="7"/>
    </row>
    <row r="90" customFormat="false" ht="15" hidden="false" customHeight="true" outlineLevel="0" collapsed="false">
      <c r="A90" s="3" t="s">
        <v>420</v>
      </c>
      <c r="B90" s="7"/>
      <c r="C90" s="83"/>
      <c r="D90" s="83"/>
      <c r="E90" s="83"/>
      <c r="F90" s="83"/>
      <c r="G90" s="83"/>
      <c r="H90" s="7"/>
    </row>
    <row r="91" customFormat="false" ht="15" hidden="false" customHeight="true" outlineLevel="0" collapsed="false">
      <c r="A91" s="7"/>
      <c r="B91" s="7"/>
      <c r="C91" s="7"/>
      <c r="D91" s="7"/>
      <c r="E91" s="7"/>
      <c r="F91" s="7"/>
      <c r="G91" s="7"/>
      <c r="H91" s="7"/>
    </row>
    <row r="92" customFormat="false" ht="15" hidden="false" customHeight="true" outlineLevel="0" collapsed="false">
      <c r="A92" s="5" t="s">
        <v>421</v>
      </c>
      <c r="B92" s="6"/>
      <c r="C92" s="6"/>
      <c r="D92" s="6"/>
      <c r="E92" s="6"/>
      <c r="F92" s="6"/>
      <c r="G92" s="6"/>
      <c r="H92" s="6"/>
    </row>
    <row r="94" customFormat="false" ht="15" hidden="false" customHeight="true" outlineLevel="0" collapsed="false">
      <c r="A94" s="7" t="s">
        <v>422</v>
      </c>
      <c r="F94" s="53" t="n">
        <v>39247</v>
      </c>
      <c r="G94" s="53" t="n">
        <v>20040</v>
      </c>
    </row>
    <row r="95" customFormat="false" ht="15" hidden="false" customHeight="true" outlineLevel="0" collapsed="false">
      <c r="A95" s="7" t="s">
        <v>18</v>
      </c>
      <c r="F95" s="53" t="n">
        <v>-34958</v>
      </c>
      <c r="G95" s="53" t="n">
        <v>-10784</v>
      </c>
    </row>
    <row r="96" customFormat="false" ht="15" hidden="false" customHeight="true" outlineLevel="0" collapsed="false">
      <c r="A96" s="11" t="s">
        <v>423</v>
      </c>
      <c r="F96" s="21" t="n">
        <f aca="false">F94+F95</f>
        <v>4289</v>
      </c>
      <c r="G96" s="21" t="n">
        <f aca="false">G94+G95</f>
        <v>9256</v>
      </c>
      <c r="H96" s="12" t="n">
        <f aca="false">H94+H95</f>
        <v>0</v>
      </c>
    </row>
    <row r="97" customFormat="false" ht="15" hidden="false" customHeight="true" outlineLevel="0" collapsed="false">
      <c r="A97" s="7" t="s">
        <v>424</v>
      </c>
      <c r="F97" s="53" t="n">
        <v>-7562</v>
      </c>
      <c r="G97" s="53" t="n">
        <v>-6280</v>
      </c>
    </row>
    <row r="98" customFormat="false" ht="15" hidden="false" customHeight="true" outlineLevel="0" collapsed="false">
      <c r="A98" s="7" t="s">
        <v>425</v>
      </c>
      <c r="F98" s="53" t="n">
        <v>1993</v>
      </c>
      <c r="G98" s="53" t="n">
        <v>1865</v>
      </c>
    </row>
    <row r="99" customFormat="false" ht="15" hidden="false" customHeight="true" outlineLevel="0" collapsed="false">
      <c r="A99" s="7" t="s">
        <v>426</v>
      </c>
      <c r="F99" s="53" t="n">
        <v>10766</v>
      </c>
      <c r="G99" s="53" t="n">
        <v>12317</v>
      </c>
    </row>
    <row r="100" customFormat="false" ht="15" hidden="false" customHeight="true" outlineLevel="0" collapsed="false">
      <c r="A100" s="7" t="s">
        <v>427</v>
      </c>
      <c r="F100" s="53" t="n">
        <v>-2078</v>
      </c>
      <c r="G100" s="53" t="n">
        <v>29357</v>
      </c>
    </row>
    <row r="101" customFormat="false" ht="15" hidden="false" customHeight="true" outlineLevel="0" collapsed="false">
      <c r="A101" s="11" t="s">
        <v>428</v>
      </c>
      <c r="F101" s="67" t="n">
        <v>7408</v>
      </c>
      <c r="G101" s="67" t="n">
        <v>46515</v>
      </c>
    </row>
    <row r="104" customFormat="false" ht="15" hidden="false" customHeight="true" outlineLevel="0" collapsed="false">
      <c r="A104" s="5" t="s">
        <v>429</v>
      </c>
      <c r="B104" s="6"/>
      <c r="C104" s="6"/>
      <c r="D104" s="6"/>
      <c r="E104" s="6"/>
      <c r="F104" s="6"/>
      <c r="G104" s="6"/>
      <c r="H104" s="6"/>
    </row>
    <row r="105" customFormat="false" ht="15" hidden="false" customHeight="true" outlineLevel="0" collapsed="false">
      <c r="A105" s="3" t="s">
        <v>430</v>
      </c>
    </row>
    <row r="107" customFormat="false" ht="15" hidden="false" customHeight="true" outlineLevel="0" collapsed="false">
      <c r="A107" s="7" t="s">
        <v>431</v>
      </c>
      <c r="B107" s="53" t="n">
        <v>72567</v>
      </c>
      <c r="C107" s="53" t="n">
        <v>69955</v>
      </c>
      <c r="D107" s="53" t="n">
        <v>96451</v>
      </c>
      <c r="E107" s="53" t="n">
        <v>125935</v>
      </c>
      <c r="F107" s="53" t="n">
        <v>95062</v>
      </c>
      <c r="G107" s="53" t="n">
        <v>150687</v>
      </c>
      <c r="H107" s="53" t="n">
        <v>88785</v>
      </c>
    </row>
    <row r="108" customFormat="false" ht="15" hidden="false" customHeight="true" outlineLevel="0" collapsed="false">
      <c r="A108" s="7" t="s">
        <v>432</v>
      </c>
      <c r="B108" s="75" t="n">
        <f aca="false">B31</f>
        <v>0</v>
      </c>
      <c r="C108" s="75" t="n">
        <f aca="false">C31</f>
        <v>0</v>
      </c>
      <c r="D108" s="75" t="n">
        <f aca="false">D31</f>
        <v>0</v>
      </c>
      <c r="E108" s="75" t="n">
        <f aca="false">E31</f>
        <v>0</v>
      </c>
      <c r="F108" s="75" t="n">
        <f aca="false">F31</f>
        <v>-14533</v>
      </c>
      <c r="G108" s="75" t="n">
        <f aca="false">G31</f>
        <v>-44728</v>
      </c>
      <c r="H108" s="75" t="n">
        <f aca="false">H31</f>
        <v>-35002</v>
      </c>
    </row>
    <row r="109" customFormat="false" ht="15" hidden="false" customHeight="true" outlineLevel="0" collapsed="false">
      <c r="A109" s="7" t="s">
        <v>433</v>
      </c>
      <c r="D109" s="53" t="n">
        <v>-9656</v>
      </c>
      <c r="E109" s="53" t="n">
        <v>-11469</v>
      </c>
      <c r="F109" s="53" t="n">
        <v>-16865</v>
      </c>
      <c r="G109" s="53" t="n">
        <v>-14591</v>
      </c>
    </row>
    <row r="110" customFormat="false" ht="15" hidden="false" customHeight="true" outlineLevel="0" collapsed="false">
      <c r="A110" s="7" t="s">
        <v>434</v>
      </c>
      <c r="G110" s="53" t="n">
        <v>-9657</v>
      </c>
    </row>
    <row r="111" customFormat="false" ht="15" hidden="false" customHeight="true" outlineLevel="0" collapsed="false">
      <c r="A111" s="11" t="s">
        <v>435</v>
      </c>
      <c r="B111" s="21" t="n">
        <f aca="false">SUM(B107:B110)</f>
        <v>72567</v>
      </c>
      <c r="C111" s="21" t="n">
        <f aca="false">SUM(C107:C110)</f>
        <v>69955</v>
      </c>
      <c r="D111" s="21" t="n">
        <f aca="false">SUM(D107:D110)</f>
        <v>86795</v>
      </c>
      <c r="E111" s="21" t="n">
        <f aca="false">SUM(E107:E110)</f>
        <v>114466</v>
      </c>
      <c r="F111" s="21" t="n">
        <f aca="false">SUM(F107:F110)</f>
        <v>63664</v>
      </c>
      <c r="G111" s="21" t="n">
        <f aca="false">SUM(G107:G110)</f>
        <v>81711</v>
      </c>
      <c r="H111" s="12" t="n">
        <f aca="false">SUM(H107:H110)</f>
        <v>53783</v>
      </c>
    </row>
    <row r="112" customFormat="false" ht="15" hidden="false" customHeight="true" outlineLevel="0" collapsed="false">
      <c r="A112" s="7" t="s">
        <v>37</v>
      </c>
      <c r="B112" s="10" t="n">
        <f aca="false">B42</f>
        <v>78695</v>
      </c>
      <c r="C112" s="10" t="n">
        <f aca="false">C42</f>
        <v>98940</v>
      </c>
      <c r="D112" s="10" t="n">
        <f aca="false">D42</f>
        <v>121603</v>
      </c>
      <c r="E112" s="10" t="n">
        <f aca="false">E42</f>
        <v>144491</v>
      </c>
      <c r="F112" s="10" t="n">
        <f aca="false">F42</f>
        <v>162271</v>
      </c>
      <c r="G112" s="10" t="n">
        <f aca="false">G42</f>
        <v>170813</v>
      </c>
      <c r="H112" s="12" t="n">
        <f aca="false">H42</f>
        <v>182071</v>
      </c>
    </row>
    <row r="113" customFormat="false" ht="15" hidden="false" customHeight="true" outlineLevel="0" collapsed="false">
      <c r="A113" s="7" t="s">
        <v>436</v>
      </c>
      <c r="B113" s="20" t="n">
        <f aca="false">IF(B112=0,"",B111/B112)</f>
        <v>0.922129741406697</v>
      </c>
      <c r="C113" s="20" t="n">
        <f aca="false">IF(C112=0,"",C111/C112)</f>
        <v>0.707044673539519</v>
      </c>
      <c r="D113" s="20" t="n">
        <f aca="false">IF(D112=0,"",D111/D112)</f>
        <v>0.713757061914591</v>
      </c>
      <c r="E113" s="20" t="n">
        <f aca="false">IF(E112=0,"",E111/E112)</f>
        <v>0.792201590410475</v>
      </c>
      <c r="F113" s="20" t="n">
        <f aca="false">IF(F112=0,"",F111/F112)</f>
        <v>0.392331346944309</v>
      </c>
      <c r="G113" s="20" t="n">
        <f aca="false">IF(G112=0,"",G111/G112)</f>
        <v>0.478365229812719</v>
      </c>
      <c r="H113" s="20" t="n">
        <f aca="false">IF(H112=0,"",H111/H112)</f>
        <v>0.295395752206557</v>
      </c>
    </row>
    <row r="115" customFormat="false" ht="15" hidden="false" customHeight="true" outlineLevel="0" collapsed="false">
      <c r="A115" s="5" t="s">
        <v>437</v>
      </c>
      <c r="B115" s="6"/>
      <c r="C115" s="6"/>
      <c r="D115" s="6"/>
      <c r="E115" s="6"/>
      <c r="F115" s="6"/>
      <c r="G115" s="6"/>
      <c r="H115" s="6"/>
    </row>
    <row r="116" customFormat="false" ht="15" hidden="false" customHeight="true" outlineLevel="0" collapsed="false">
      <c r="A116" s="3" t="s">
        <v>438</v>
      </c>
    </row>
    <row r="118" customFormat="false" ht="15" hidden="false" customHeight="true" outlineLevel="0" collapsed="false">
      <c r="A118" s="7" t="s">
        <v>439</v>
      </c>
      <c r="B118" s="10" t="n">
        <f aca="false">B17</f>
        <v>61790</v>
      </c>
      <c r="C118" s="10" t="n">
        <f aca="false">C17</f>
        <v>80752</v>
      </c>
      <c r="D118" s="10" t="n">
        <f aca="false">D17</f>
        <v>97812</v>
      </c>
      <c r="E118" s="10" t="n">
        <f aca="false">E17</f>
        <v>160041</v>
      </c>
      <c r="F118" s="10" t="n">
        <f aca="false">F17</f>
        <v>204755</v>
      </c>
      <c r="G118" s="10" t="n">
        <f aca="false">G17</f>
        <v>227787</v>
      </c>
      <c r="H118" s="12" t="n">
        <f aca="false">H17</f>
        <v>176188</v>
      </c>
    </row>
    <row r="119" customFormat="false" ht="15" hidden="false" customHeight="true" outlineLevel="0" collapsed="false">
      <c r="A119" s="7" t="s">
        <v>440</v>
      </c>
      <c r="B119" s="10" t="n">
        <f aca="false">B30</f>
        <v>-19042</v>
      </c>
      <c r="C119" s="10" t="n">
        <f aca="false">C30</f>
        <v>-25433</v>
      </c>
      <c r="D119" s="10" t="n">
        <f aca="false">D30</f>
        <v>-29075</v>
      </c>
      <c r="E119" s="10" t="n">
        <f aca="false">E30</f>
        <v>-35695</v>
      </c>
      <c r="F119" s="10" t="n">
        <f aca="false">F30</f>
        <v>-40364</v>
      </c>
      <c r="G119" s="10" t="n">
        <f aca="false">G30</f>
        <v>-37111</v>
      </c>
      <c r="H119" s="12" t="n">
        <f aca="false">H30</f>
        <v>-30536</v>
      </c>
    </row>
    <row r="120" customFormat="false" ht="15" hidden="false" customHeight="true" outlineLevel="0" collapsed="false">
      <c r="A120" s="7" t="s">
        <v>441</v>
      </c>
      <c r="B120" s="10" t="n">
        <f aca="false">B31</f>
        <v>0</v>
      </c>
      <c r="C120" s="10" t="n">
        <f aca="false">C31</f>
        <v>0</v>
      </c>
      <c r="D120" s="10" t="n">
        <f aca="false">D31</f>
        <v>0</v>
      </c>
      <c r="E120" s="10" t="n">
        <f aca="false">E31</f>
        <v>0</v>
      </c>
      <c r="F120" s="10" t="n">
        <f aca="false">F31</f>
        <v>-14533</v>
      </c>
      <c r="G120" s="10" t="n">
        <f aca="false">G31</f>
        <v>-44728</v>
      </c>
      <c r="H120" s="12" t="n">
        <f aca="false">H31</f>
        <v>-35002</v>
      </c>
    </row>
    <row r="121" customFormat="false" ht="15" hidden="false" customHeight="true" outlineLevel="0" collapsed="false">
      <c r="A121" s="7" t="s">
        <v>210</v>
      </c>
      <c r="B121" s="10" t="n">
        <f aca="false">B26</f>
        <v>-5246</v>
      </c>
      <c r="C121" s="10" t="n">
        <f aca="false">C26</f>
        <v>-6650</v>
      </c>
      <c r="D121" s="10" t="n">
        <f aca="false">D26</f>
        <v>-8376</v>
      </c>
      <c r="E121" s="10" t="n">
        <f aca="false">E26</f>
        <v>-11469</v>
      </c>
      <c r="F121" s="10" t="n">
        <f aca="false">F26</f>
        <v>-14393</v>
      </c>
      <c r="G121" s="10" t="n">
        <f aca="false">G26</f>
        <v>-14591</v>
      </c>
      <c r="H121" s="12" t="n">
        <f aca="false">H26</f>
        <v>-12698</v>
      </c>
    </row>
    <row r="122" customFormat="false" ht="15" hidden="false" customHeight="true" outlineLevel="0" collapsed="false">
      <c r="A122" s="7" t="s">
        <v>442</v>
      </c>
      <c r="B122" s="10" t="n">
        <f aca="false">B25</f>
        <v>-21351</v>
      </c>
      <c r="C122" s="10" t="n">
        <f aca="false">C25</f>
        <v>-28817</v>
      </c>
      <c r="D122" s="10" t="n">
        <f aca="false">D25</f>
        <v>-37697</v>
      </c>
      <c r="E122" s="10" t="n">
        <f aca="false">E25</f>
        <v>-70306</v>
      </c>
      <c r="F122" s="10" t="n">
        <f aca="false">F25</f>
        <v>-87501</v>
      </c>
      <c r="G122" s="10" t="n">
        <f aca="false">G25</f>
        <v>-106182</v>
      </c>
      <c r="H122" s="12" t="n">
        <f aca="false">H25</f>
        <v>-77259</v>
      </c>
    </row>
    <row r="123" customFormat="false" ht="15" hidden="false" customHeight="true" outlineLevel="0" collapsed="false">
      <c r="A123" s="7" t="s">
        <v>443</v>
      </c>
      <c r="B123" s="10" t="n">
        <f aca="false">B35</f>
        <v>-366</v>
      </c>
      <c r="C123" s="10" t="n">
        <f aca="false">C35</f>
        <v>-510</v>
      </c>
      <c r="D123" s="10" t="n">
        <f aca="false">D35</f>
        <v>-4296</v>
      </c>
      <c r="E123" s="10" t="n">
        <f aca="false">E35</f>
        <v>-8464</v>
      </c>
      <c r="F123" s="10" t="n">
        <f aca="false">F35</f>
        <v>-1</v>
      </c>
      <c r="G123" s="10" t="n">
        <f aca="false">G35</f>
        <v>-368</v>
      </c>
      <c r="H123" s="12" t="n">
        <f aca="false">H35</f>
        <v>-102</v>
      </c>
    </row>
    <row r="124" customFormat="false" ht="15" hidden="false" customHeight="true" outlineLevel="0" collapsed="false">
      <c r="A124" s="11" t="s">
        <v>444</v>
      </c>
      <c r="B124" s="21" t="n">
        <f aca="false">SUM(B118:B123)</f>
        <v>15785</v>
      </c>
      <c r="C124" s="21" t="n">
        <f aca="false">SUM(C118:C123)</f>
        <v>19342</v>
      </c>
      <c r="D124" s="21" t="n">
        <f aca="false">SUM(D118:D123)</f>
        <v>18368</v>
      </c>
      <c r="E124" s="21" t="n">
        <f aca="false">SUM(E118:E123)</f>
        <v>34107</v>
      </c>
      <c r="F124" s="21" t="n">
        <f aca="false">SUM(F118:F123)</f>
        <v>47963</v>
      </c>
      <c r="G124" s="21" t="n">
        <f aca="false">SUM(G118:G123)</f>
        <v>24807</v>
      </c>
      <c r="H124" s="12" t="n">
        <f aca="false">SUM(H118:H123)</f>
        <v>20591</v>
      </c>
    </row>
    <row r="125" customFormat="false" ht="15" hidden="false" customHeight="true" outlineLevel="0" collapsed="false">
      <c r="A125" s="68" t="s">
        <v>445</v>
      </c>
      <c r="B125" s="75" t="n">
        <f aca="false">-ABS(B118)*0.15</f>
        <v>-9268.5</v>
      </c>
      <c r="C125" s="75" t="n">
        <f aca="false">-ABS(C118)*0.15</f>
        <v>-12112.8</v>
      </c>
      <c r="D125" s="75" t="n">
        <f aca="false">-ABS(D118)*0.15</f>
        <v>-14671.8</v>
      </c>
      <c r="E125" s="75" t="n">
        <f aca="false">-ABS(E118)*0.15</f>
        <v>-24006.15</v>
      </c>
      <c r="F125" s="75" t="n">
        <f aca="false">-ABS(F118)*0.15</f>
        <v>-30713.25</v>
      </c>
      <c r="G125" s="75" t="n">
        <f aca="false">-ABS(G118)*0.15</f>
        <v>-34168.05</v>
      </c>
      <c r="H125" s="75" t="n">
        <f aca="false">-ABS(H118)*0.15</f>
        <v>-26428.2</v>
      </c>
    </row>
    <row r="126" customFormat="false" ht="15" hidden="false" customHeight="true" outlineLevel="0" collapsed="false">
      <c r="A126" s="11" t="s">
        <v>36</v>
      </c>
      <c r="B126" s="21" t="n">
        <f aca="false">B124+B125</f>
        <v>6516.5</v>
      </c>
      <c r="C126" s="21" t="n">
        <f aca="false">C124+C125</f>
        <v>7229.2</v>
      </c>
      <c r="D126" s="21" t="n">
        <f aca="false">D124+D125</f>
        <v>3696.2</v>
      </c>
      <c r="E126" s="21" t="n">
        <f aca="false">E124+E125</f>
        <v>10100.85</v>
      </c>
      <c r="F126" s="21" t="n">
        <f aca="false">F124+F125</f>
        <v>17249.75</v>
      </c>
      <c r="G126" s="21" t="n">
        <f aca="false">G124+G125</f>
        <v>-9361.05</v>
      </c>
      <c r="H126" s="12" t="n">
        <f aca="false">H124+H125</f>
        <v>-5837.2</v>
      </c>
    </row>
    <row r="127" customFormat="false" ht="15" hidden="false" customHeight="true" outlineLevel="0" collapsed="false">
      <c r="A127" s="7" t="s">
        <v>39</v>
      </c>
      <c r="B127" s="20" t="n">
        <f aca="false">IF(B112=0,"",B126/B112)</f>
        <v>0.0828070398373467</v>
      </c>
      <c r="C127" s="20" t="n">
        <f aca="false">IF(C112=0,"",C126/C112)</f>
        <v>0.0730665049524965</v>
      </c>
      <c r="D127" s="20" t="n">
        <f aca="false">IF(D112=0,"",D126/D112)</f>
        <v>0.0303956316867183</v>
      </c>
      <c r="E127" s="20" t="n">
        <f aca="false">IF(E112=0,"",E126/E112)</f>
        <v>0.0699064301582798</v>
      </c>
      <c r="F127" s="20" t="n">
        <f aca="false">IF(F112=0,"",F126/F112)</f>
        <v>0.10630211189923</v>
      </c>
      <c r="G127" s="20" t="n">
        <f aca="false">IF(G112=0,"",G126/G112)</f>
        <v>-0.054802913127221</v>
      </c>
      <c r="H127" s="20" t="n">
        <f aca="false">IF(H112=0,"",H126/H112)</f>
        <v>-0.0320600205414371</v>
      </c>
    </row>
    <row r="129" customFormat="false" ht="15" hidden="false" customHeight="true" outlineLevel="0" collapsed="false">
      <c r="A129" s="5" t="s">
        <v>446</v>
      </c>
      <c r="B129" s="6"/>
      <c r="C129" s="6"/>
      <c r="D129" s="6"/>
      <c r="E129" s="6"/>
      <c r="F129" s="6"/>
      <c r="G129" s="6"/>
      <c r="H129" s="6"/>
    </row>
    <row r="131" customFormat="false" ht="15" hidden="false" customHeight="true" outlineLevel="0" collapsed="false">
      <c r="A131" s="7" t="s">
        <v>47</v>
      </c>
      <c r="B131" s="53" t="n">
        <v>90608</v>
      </c>
      <c r="C131" s="53" t="n">
        <v>103139</v>
      </c>
      <c r="D131" s="53" t="n">
        <v>107766</v>
      </c>
      <c r="E131" s="53" t="n">
        <v>138609</v>
      </c>
      <c r="F131" s="53" t="n">
        <v>155344</v>
      </c>
      <c r="G131" s="53" t="n">
        <v>181406</v>
      </c>
      <c r="H131" s="53" t="n">
        <v>143614</v>
      </c>
    </row>
    <row r="132" customFormat="false" ht="15" hidden="false" customHeight="true" outlineLevel="0" collapsed="false">
      <c r="A132" s="7" t="s">
        <v>41</v>
      </c>
      <c r="B132" s="13" t="n">
        <f aca="false">IF(B107=0,"",B131/B107)</f>
        <v>1.24861162787493</v>
      </c>
      <c r="C132" s="13" t="n">
        <f aca="false">IF(C107=0,"",C131/C107)</f>
        <v>1.47436208991495</v>
      </c>
      <c r="D132" s="13" t="n">
        <f aca="false">IF(D107=0,"",D131/D107)</f>
        <v>1.11731345450021</v>
      </c>
      <c r="E132" s="13" t="n">
        <f aca="false">IF(E107=0,"",E131/E107)</f>
        <v>1.10063921864454</v>
      </c>
      <c r="F132" s="13" t="n">
        <f aca="false">IF(F107=0,"",F131/F107)</f>
        <v>1.63413351286529</v>
      </c>
      <c r="G132" s="13" t="n">
        <f aca="false">IF(G107=0,"",G131/G107)</f>
        <v>1.20385965610836</v>
      </c>
      <c r="H132" s="13" t="n">
        <f aca="false">IF(H107=0,"",H131/H107)</f>
        <v>1.61754800923579</v>
      </c>
    </row>
    <row r="133" customFormat="false" ht="15" hidden="false" customHeight="true" outlineLevel="0" collapsed="false">
      <c r="A133" s="7" t="s">
        <v>447</v>
      </c>
      <c r="B133" s="13" t="n">
        <f aca="false">IF(B111=0,"",B131/B111)</f>
        <v>1.24861162787493</v>
      </c>
      <c r="C133" s="13" t="n">
        <f aca="false">IF(C111=0,"",C131/C111)</f>
        <v>1.47436208991495</v>
      </c>
      <c r="D133" s="13" t="n">
        <f aca="false">IF(D111=0,"",D131/D111)</f>
        <v>1.24161530042053</v>
      </c>
      <c r="E133" s="13" t="n">
        <f aca="false">IF(E111=0,"",E131/E111)</f>
        <v>1.2109185260252</v>
      </c>
      <c r="F133" s="13" t="n">
        <f aca="false">IF(F111=0,"",F131/F111)</f>
        <v>2.44006031666248</v>
      </c>
      <c r="G133" s="13" t="n">
        <f aca="false">IF(G111=0,"",G131/G111)</f>
        <v>2.22009276596786</v>
      </c>
      <c r="H133" s="13" t="n">
        <f aca="false">IF(H111=0,"",H131/H111)</f>
        <v>2.67024896342711</v>
      </c>
    </row>
    <row r="134" customFormat="false" ht="15" hidden="false" customHeight="true" outlineLevel="0" collapsed="false">
      <c r="A134" s="7" t="s">
        <v>42</v>
      </c>
      <c r="B134" s="29" t="n">
        <f aca="false">IF(B126=0,"",B131/B126)</f>
        <v>13.9043965318806</v>
      </c>
      <c r="C134" s="29" t="n">
        <f aca="false">IF(C126=0,"",C131/C126)</f>
        <v>14.2670004979804</v>
      </c>
      <c r="D134" s="29" t="n">
        <f aca="false">IF(D126=0,"",D131/D126)</f>
        <v>29.1558898328013</v>
      </c>
      <c r="E134" s="29" t="n">
        <f aca="false">IF(E126=0,"",E131/E126)</f>
        <v>13.7225085017598</v>
      </c>
      <c r="F134" s="29" t="n">
        <f aca="false">IF(F126=0,"",F131/F126)</f>
        <v>9.00557979101146</v>
      </c>
      <c r="G134" s="29" t="n">
        <f aca="false">IF(G126=0,"",G131/G126)</f>
        <v>-19.378809001127</v>
      </c>
      <c r="H134" s="13" t="n">
        <f aca="false">IF(H126=0,"",H131/H126)</f>
        <v>-24.6032344274652</v>
      </c>
    </row>
    <row r="136" customFormat="false" ht="15" hidden="false" customHeight="true" outlineLevel="0" collapsed="false">
      <c r="A136" s="5" t="s">
        <v>448</v>
      </c>
      <c r="B136" s="6"/>
      <c r="C136" s="6"/>
      <c r="D136" s="6"/>
      <c r="E136" s="6"/>
      <c r="F136" s="6"/>
      <c r="G136" s="6"/>
      <c r="H136" s="6"/>
    </row>
    <row r="138" customFormat="false" ht="15" hidden="false" customHeight="true" outlineLevel="0" collapsed="false">
      <c r="A138" s="3" t="s">
        <v>449</v>
      </c>
    </row>
    <row r="139" customFormat="false" ht="15" hidden="false" customHeight="true" outlineLevel="0" collapsed="false">
      <c r="A139" s="7" t="s">
        <v>154</v>
      </c>
      <c r="B139" s="12" t="n">
        <f aca="false">ABS(B125)</f>
        <v>9268.5</v>
      </c>
      <c r="C139" s="12" t="n">
        <f aca="false">ABS(C125)</f>
        <v>12112.8</v>
      </c>
      <c r="D139" s="12" t="n">
        <f aca="false">ABS(D125)</f>
        <v>14671.8</v>
      </c>
      <c r="E139" s="12" t="n">
        <f aca="false">ABS(E125)</f>
        <v>24006.15</v>
      </c>
      <c r="F139" s="12" t="n">
        <f aca="false">ABS(F125)</f>
        <v>30713.25</v>
      </c>
      <c r="G139" s="12" t="n">
        <f aca="false">ABS(G125)</f>
        <v>34168.05</v>
      </c>
      <c r="H139" s="12" t="n">
        <f aca="false">ABS(H125)</f>
        <v>26428.2</v>
      </c>
    </row>
    <row r="140" customFormat="false" ht="15" hidden="false" customHeight="true" outlineLevel="0" collapsed="false">
      <c r="A140" s="7" t="s">
        <v>155</v>
      </c>
      <c r="B140" s="53" t="n">
        <v>27294</v>
      </c>
      <c r="C140" s="53" t="n">
        <v>55696</v>
      </c>
      <c r="D140" s="53" t="n">
        <v>61384</v>
      </c>
      <c r="E140" s="53" t="n">
        <v>61109</v>
      </c>
      <c r="F140" s="53" t="n">
        <v>47628</v>
      </c>
      <c r="G140" s="53" t="n">
        <v>49687</v>
      </c>
      <c r="H140" s="53" t="n">
        <v>36545</v>
      </c>
    </row>
    <row r="141" customFormat="false" ht="15" hidden="false" customHeight="true" outlineLevel="0" collapsed="false">
      <c r="A141" s="7" t="s">
        <v>157</v>
      </c>
      <c r="B141" s="13" t="n">
        <f aca="false">IF(B17=0,"",B140/B17)</f>
        <v>0.441721961482441</v>
      </c>
      <c r="C141" s="13" t="n">
        <f aca="false">IF(C17=0,"",C140/C17)</f>
        <v>0.689716663364375</v>
      </c>
      <c r="D141" s="13" t="n">
        <f aca="false">IF(D17=0,"",D140/D17)</f>
        <v>0.627571259150207</v>
      </c>
      <c r="E141" s="13" t="n">
        <f aca="false">IF(E17=0,"",E140/E17)</f>
        <v>0.38183340518992</v>
      </c>
      <c r="F141" s="13" t="n">
        <f aca="false">IF(F17=0,"",F140/F17)</f>
        <v>0.232609704280726</v>
      </c>
      <c r="G141" s="13" t="n">
        <f aca="false">IF(G17=0,"",G140/G17)</f>
        <v>0.218129217207303</v>
      </c>
      <c r="H141" s="13" t="n">
        <f aca="false">IF(H17=0,"",H140/H17)</f>
        <v>0.207420482666243</v>
      </c>
    </row>
    <row r="143" customFormat="false" ht="15" hidden="false" customHeight="true" outlineLevel="0" collapsed="false">
      <c r="A143" s="5" t="s">
        <v>450</v>
      </c>
      <c r="B143" s="6"/>
      <c r="C143" s="6"/>
      <c r="D143" s="6"/>
      <c r="E143" s="6"/>
      <c r="F143" s="6"/>
      <c r="G143" s="6"/>
      <c r="H143" s="6"/>
    </row>
    <row r="145" customFormat="false" ht="15" hidden="false" customHeight="true" outlineLevel="0" collapsed="false">
      <c r="A145" s="7" t="s">
        <v>451</v>
      </c>
      <c r="B145" s="53" t="n">
        <v>59208</v>
      </c>
      <c r="C145" s="53" t="n">
        <v>62989</v>
      </c>
      <c r="D145" s="53" t="n">
        <v>71572</v>
      </c>
      <c r="E145" s="53" t="n">
        <v>76872</v>
      </c>
      <c r="F145" s="53" t="n">
        <v>80232</v>
      </c>
      <c r="G145" s="53" t="n">
        <v>79625</v>
      </c>
      <c r="H145" s="53" t="n">
        <v>81653</v>
      </c>
    </row>
    <row r="146" customFormat="false" ht="15" hidden="false" customHeight="true" outlineLevel="0" collapsed="false">
      <c r="A146" s="7" t="s">
        <v>452</v>
      </c>
      <c r="B146" s="53" t="n">
        <v>28801</v>
      </c>
      <c r="C146" s="53" t="n">
        <v>35694</v>
      </c>
      <c r="D146" s="53" t="n">
        <v>46806</v>
      </c>
      <c r="E146" s="53" t="n">
        <v>55721</v>
      </c>
      <c r="F146" s="53" t="n">
        <v>61472</v>
      </c>
      <c r="G146" s="53" t="n">
        <v>69541</v>
      </c>
      <c r="H146" s="53" t="n">
        <v>72434</v>
      </c>
    </row>
    <row r="147" customFormat="false" ht="15" hidden="false" customHeight="true" outlineLevel="0" collapsed="false">
      <c r="A147" s="7" t="s">
        <v>453</v>
      </c>
      <c r="B147" s="53" t="n">
        <v>3031</v>
      </c>
      <c r="C147" s="53" t="n">
        <v>4918</v>
      </c>
      <c r="D147" s="53" t="n">
        <v>10705</v>
      </c>
      <c r="E147" s="53" t="n">
        <v>13439</v>
      </c>
      <c r="F147" s="53" t="n">
        <v>16174</v>
      </c>
      <c r="G147" s="53" t="n">
        <v>19834</v>
      </c>
      <c r="H147" s="53" t="n">
        <v>20174</v>
      </c>
    </row>
    <row r="148" customFormat="false" ht="15" hidden="false" customHeight="true" outlineLevel="0" collapsed="false">
      <c r="A148" s="7" t="s">
        <v>454</v>
      </c>
      <c r="B148" s="53" t="n">
        <v>50</v>
      </c>
      <c r="C148" s="53" t="n">
        <v>19</v>
      </c>
      <c r="D148" s="53" t="n">
        <v>13</v>
      </c>
      <c r="E148" s="53" t="n">
        <v>4</v>
      </c>
      <c r="F148" s="53" t="n">
        <v>0</v>
      </c>
      <c r="G148" s="53" t="n">
        <v>0</v>
      </c>
      <c r="H148" s="53" t="n">
        <v>0</v>
      </c>
    </row>
    <row r="149" customFormat="false" ht="15" hidden="false" customHeight="true" outlineLevel="0" collapsed="false">
      <c r="A149" s="7" t="s">
        <v>455</v>
      </c>
      <c r="B149" s="53" t="n">
        <v>481</v>
      </c>
      <c r="C149" s="53" t="n">
        <v>807</v>
      </c>
      <c r="D149" s="53" t="n">
        <v>468</v>
      </c>
      <c r="E149" s="53" t="n">
        <v>6991</v>
      </c>
      <c r="F149" s="53" t="n">
        <v>9340</v>
      </c>
      <c r="G149" s="53" t="n">
        <v>7936</v>
      </c>
      <c r="H149" s="53" t="n">
        <v>7872</v>
      </c>
    </row>
    <row r="150" customFormat="false" ht="15" hidden="false" customHeight="true" outlineLevel="0" collapsed="false">
      <c r="A150" s="11" t="s">
        <v>15</v>
      </c>
      <c r="B150" s="21" t="n">
        <f aca="false">SUM(B145:B149)</f>
        <v>91571</v>
      </c>
      <c r="C150" s="21" t="n">
        <f aca="false">SUM(C145:C149)</f>
        <v>104427</v>
      </c>
      <c r="D150" s="21" t="n">
        <f aca="false">SUM(D145:D149)</f>
        <v>129564</v>
      </c>
      <c r="E150" s="21" t="n">
        <f aca="false">SUM(E145:E149)</f>
        <v>153027</v>
      </c>
      <c r="F150" s="21" t="n">
        <f aca="false">SUM(F145:F149)</f>
        <v>167218</v>
      </c>
      <c r="G150" s="21" t="n">
        <f aca="false">SUM(G145:G149)</f>
        <v>176936</v>
      </c>
      <c r="H150" s="12" t="n">
        <f aca="false">SUM(H145:H149)</f>
        <v>182133</v>
      </c>
    </row>
    <row r="151" customFormat="false" ht="15" hidden="false" customHeight="true" outlineLevel="0" collapsed="false">
      <c r="A151" s="3" t="s">
        <v>269</v>
      </c>
      <c r="B151" s="49" t="n">
        <v>91570</v>
      </c>
      <c r="F151" s="49" t="n">
        <v>167218</v>
      </c>
      <c r="G151" s="49" t="n">
        <v>176936</v>
      </c>
    </row>
    <row r="152" customFormat="false" ht="15" hidden="false" customHeight="true" outlineLevel="0" collapsed="false">
      <c r="A152" s="3" t="s">
        <v>270</v>
      </c>
      <c r="B152" s="61" t="n">
        <f aca="false">B150-B151</f>
        <v>1</v>
      </c>
      <c r="F152" s="61" t="n">
        <f aca="false">F150-F151</f>
        <v>0</v>
      </c>
      <c r="G152" s="61" t="n">
        <f aca="false">G150-G151</f>
        <v>0</v>
      </c>
      <c r="H152" s="62" t="n">
        <f aca="false">H150-H151</f>
        <v>182133</v>
      </c>
    </row>
    <row r="153" customFormat="false" ht="15" hidden="false" customHeight="true" outlineLevel="0" collapsed="false">
      <c r="A153" s="5" t="s">
        <v>86</v>
      </c>
      <c r="B153" s="6"/>
      <c r="C153" s="6"/>
      <c r="D153" s="6"/>
      <c r="E153" s="6"/>
      <c r="F153" s="6"/>
      <c r="G153" s="6"/>
      <c r="H153" s="6"/>
    </row>
    <row r="154" customFormat="false" ht="15" hidden="false" customHeight="true" outlineLevel="0" collapsed="false">
      <c r="A154" s="3" t="s">
        <v>456</v>
      </c>
    </row>
    <row r="155" customFormat="false" ht="15" hidden="false" customHeight="true" outlineLevel="0" collapsed="false">
      <c r="A155" s="11" t="s">
        <v>457</v>
      </c>
      <c r="B155" s="21" t="n">
        <f aca="false">B17+B21+B22+B30+B31+B26+B27</f>
        <v>85528</v>
      </c>
      <c r="C155" s="21" t="n">
        <f aca="false">C17+C21+C22+C30+C31+C26+C27</f>
        <v>97817</v>
      </c>
      <c r="D155" s="21" t="n">
        <f aca="false">D17+D21+D22+D30+D31+D26+D27</f>
        <v>106611</v>
      </c>
      <c r="E155" s="21" t="n">
        <f aca="false">E17+E21+E22+E30+E31+E26+E27</f>
        <v>136800</v>
      </c>
      <c r="F155" s="21" t="n">
        <f aca="false">F17+F21+F22+F30+F31+F26+F27</f>
        <v>163350</v>
      </c>
      <c r="G155" s="21" t="n">
        <f aca="false">G17+G21+G22+G30+G31+G26+G27</f>
        <v>157116</v>
      </c>
      <c r="H155" s="12" t="n">
        <f aca="false">H17+H21+H22+H30+H31+H26+H27</f>
        <v>119566</v>
      </c>
    </row>
    <row r="156" customFormat="false" ht="15" hidden="false" customHeight="true" outlineLevel="0" collapsed="false">
      <c r="A156" s="7" t="s">
        <v>458</v>
      </c>
      <c r="B156" s="13" t="n">
        <f aca="false">IF(B11=0,"",B155/B11)</f>
        <v>0.945384606881915</v>
      </c>
      <c r="C156" s="13" t="n">
        <f aca="false">IF(C11=0,"",C155/C11)</f>
        <v>0.792862237784911</v>
      </c>
      <c r="D156" s="13" t="n">
        <f aca="false">IF(D11=0,"",D155/D11)</f>
        <v>0.687888349044734</v>
      </c>
      <c r="E156" s="13" t="n">
        <f aca="false">IF(E11=0,"",E155/E11)</f>
        <v>0.551261696177435</v>
      </c>
      <c r="F156" s="13" t="n">
        <f aca="false">IF(F11=0,"",F155/F11)</f>
        <v>0.514157832447813</v>
      </c>
      <c r="G156" s="13" t="n">
        <f aca="false">IF(G11=0,"",G155/G11)</f>
        <v>0.448581160367851</v>
      </c>
      <c r="H156" s="13" t="n">
        <f aca="false">IF(H11=0,"",H155/H11)</f>
        <v>0.432851004058227</v>
      </c>
    </row>
    <row r="158" customFormat="false" ht="15" hidden="false" customHeight="true" outlineLevel="0" collapsed="false">
      <c r="A158" s="5" t="s">
        <v>459</v>
      </c>
      <c r="B158" s="6"/>
      <c r="C158" s="6"/>
      <c r="D158" s="6"/>
      <c r="E158" s="6"/>
      <c r="F158" s="6"/>
      <c r="G158" s="6"/>
      <c r="H158" s="6"/>
    </row>
    <row r="159" customFormat="false" ht="15" hidden="false" customHeight="true" outlineLevel="0" collapsed="false">
      <c r="A159" s="7" t="s">
        <v>460</v>
      </c>
      <c r="C159" s="53" t="n">
        <v>38257</v>
      </c>
      <c r="D159" s="53" t="n">
        <v>132315</v>
      </c>
      <c r="E159" s="53" t="n">
        <v>218533</v>
      </c>
      <c r="F159" s="53" t="n">
        <v>124271</v>
      </c>
      <c r="G159" s="53" t="n">
        <v>195372</v>
      </c>
    </row>
    <row r="160" customFormat="false" ht="15" hidden="false" customHeight="true" outlineLevel="0" collapsed="false">
      <c r="A160" s="7" t="s">
        <v>461</v>
      </c>
      <c r="F160" s="53" t="n">
        <v>-2226</v>
      </c>
      <c r="G160" s="53" t="n">
        <v>26075</v>
      </c>
    </row>
    <row r="161" customFormat="false" ht="15" hidden="false" customHeight="true" outlineLevel="0" collapsed="false">
      <c r="A161" s="7" t="s">
        <v>462</v>
      </c>
      <c r="C161" s="53" t="n">
        <v>-3954</v>
      </c>
      <c r="D161" s="53" t="n">
        <v>-7588</v>
      </c>
      <c r="E161" s="53" t="n">
        <v>-1514</v>
      </c>
      <c r="F161" s="53" t="n">
        <v>-2520</v>
      </c>
      <c r="G161" s="53" t="n">
        <v>-9723</v>
      </c>
      <c r="H161" s="53" t="n">
        <v>777</v>
      </c>
    </row>
    <row r="162" customFormat="false" ht="15" hidden="false" customHeight="true" outlineLevel="0" collapsed="false">
      <c r="A162" s="7" t="s">
        <v>463</v>
      </c>
      <c r="B162" s="3" t="n">
        <v>0</v>
      </c>
      <c r="C162" s="3" t="n">
        <v>0</v>
      </c>
      <c r="D162" s="3" t="n">
        <v>0</v>
      </c>
      <c r="E162" s="3" t="n">
        <v>0</v>
      </c>
      <c r="F162" s="53" t="n">
        <v>-16400</v>
      </c>
      <c r="G162" s="53" t="n">
        <v>-67794</v>
      </c>
      <c r="H162" s="53" t="n">
        <v>-5519</v>
      </c>
    </row>
    <row r="163" customFormat="false" ht="15" hidden="false" customHeight="true" outlineLevel="0" collapsed="false">
      <c r="A163" s="3" t="s">
        <v>464</v>
      </c>
      <c r="B163" s="49" t="n">
        <f aca="false">SUM(B159:B162)</f>
        <v>0</v>
      </c>
      <c r="C163" s="49" t="n">
        <f aca="false">SUM(C159:C162)</f>
        <v>34303</v>
      </c>
      <c r="D163" s="49" t="n">
        <f aca="false">SUM(D159:D162)</f>
        <v>124727</v>
      </c>
      <c r="E163" s="49" t="n">
        <f aca="false">SUM(E159:E162)</f>
        <v>217019</v>
      </c>
      <c r="F163" s="49" t="n">
        <f aca="false">SUM(F159:F162)</f>
        <v>103125</v>
      </c>
      <c r="G163" s="49" t="n">
        <f aca="false">SUM(G159:G162)</f>
        <v>143930</v>
      </c>
      <c r="H163" s="49" t="n">
        <f aca="false">SUM(H159:H162)</f>
        <v>-4742</v>
      </c>
    </row>
    <row r="164" customFormat="false" ht="15" hidden="false" customHeight="true" outlineLevel="0" collapsed="false">
      <c r="A164" s="3" t="s">
        <v>465</v>
      </c>
      <c r="B164" s="49" t="n">
        <f aca="false">B24</f>
        <v>205196</v>
      </c>
      <c r="C164" s="49" t="n">
        <f aca="false">C24</f>
        <v>34303</v>
      </c>
      <c r="D164" s="49" t="n">
        <f aca="false">D24</f>
        <v>124727</v>
      </c>
      <c r="E164" s="49" t="n">
        <f aca="false">E24</f>
        <v>217019</v>
      </c>
      <c r="F164" s="49" t="n">
        <f aca="false">F24</f>
        <v>103125</v>
      </c>
      <c r="G164" s="49" t="n">
        <f aca="false">G24</f>
        <v>143930</v>
      </c>
      <c r="H164" s="49" t="n">
        <f aca="false">H24</f>
        <v>27551</v>
      </c>
    </row>
    <row r="165" customFormat="false" ht="15" hidden="false" customHeight="true" outlineLevel="0" collapsed="false">
      <c r="A165" s="3" t="s">
        <v>270</v>
      </c>
      <c r="B165" s="61" t="n">
        <f aca="false">B163-B164</f>
        <v>-205196</v>
      </c>
      <c r="C165" s="61" t="n">
        <f aca="false">C163-C164</f>
        <v>0</v>
      </c>
      <c r="D165" s="61" t="n">
        <f aca="false">D163-D164</f>
        <v>0</v>
      </c>
      <c r="E165" s="61" t="n">
        <f aca="false">E163-E164</f>
        <v>0</v>
      </c>
      <c r="F165" s="61" t="n">
        <f aca="false">F163-F164</f>
        <v>0</v>
      </c>
      <c r="G165" s="61" t="n">
        <f aca="false">G163-G164</f>
        <v>0</v>
      </c>
      <c r="H165" s="61" t="n">
        <f aca="false">H163-H164</f>
        <v>-32293</v>
      </c>
    </row>
    <row r="167" customFormat="false" ht="15" hidden="false" customHeight="true" outlineLevel="0" collapsed="false">
      <c r="A167" s="5" t="s">
        <v>466</v>
      </c>
      <c r="B167" s="6"/>
      <c r="C167" s="6"/>
      <c r="D167" s="6"/>
      <c r="E167" s="6"/>
      <c r="F167" s="6"/>
      <c r="G167" s="6"/>
      <c r="H167" s="6"/>
    </row>
    <row r="168" customFormat="false" ht="15" hidden="false" customHeight="true" outlineLevel="0" collapsed="false">
      <c r="A168" s="3" t="s">
        <v>467</v>
      </c>
    </row>
    <row r="170" customFormat="false" ht="15" hidden="false" customHeight="true" outlineLevel="0" collapsed="false">
      <c r="A170" s="7" t="s">
        <v>25</v>
      </c>
      <c r="B170" s="10" t="n">
        <f aca="false">B39</f>
        <v>289882</v>
      </c>
      <c r="C170" s="10" t="n">
        <f aca="false">C39</f>
        <v>113725</v>
      </c>
      <c r="D170" s="10" t="n">
        <f aca="false">D39</f>
        <v>247025</v>
      </c>
      <c r="E170" s="10" t="n">
        <f aca="false">E39</f>
        <v>296441</v>
      </c>
      <c r="F170" s="10" t="n">
        <f aca="false">F39</f>
        <v>201274</v>
      </c>
      <c r="G170" s="10" t="n">
        <f aca="false">G39</f>
        <v>215325</v>
      </c>
      <c r="H170" s="10" t="n">
        <f aca="false">H39</f>
        <v>72465</v>
      </c>
    </row>
    <row r="171" customFormat="false" ht="15" hidden="false" customHeight="true" outlineLevel="0" collapsed="false">
      <c r="A171" s="7" t="s">
        <v>468</v>
      </c>
      <c r="B171" s="12" t="n">
        <f aca="false">-B24</f>
        <v>-205196</v>
      </c>
      <c r="C171" s="12" t="n">
        <f aca="false">-C24</f>
        <v>-34303</v>
      </c>
      <c r="D171" s="12" t="n">
        <f aca="false">-D24</f>
        <v>-124727</v>
      </c>
      <c r="E171" s="12" t="n">
        <f aca="false">-E24</f>
        <v>-217019</v>
      </c>
      <c r="F171" s="12" t="n">
        <f aca="false">-F24</f>
        <v>-103125</v>
      </c>
      <c r="G171" s="12" t="n">
        <f aca="false">-G24</f>
        <v>-143930</v>
      </c>
      <c r="H171" s="12" t="n">
        <f aca="false">-H24</f>
        <v>-27551</v>
      </c>
    </row>
    <row r="172" customFormat="false" ht="15" hidden="false" customHeight="true" outlineLevel="0" collapsed="false">
      <c r="A172" s="7" t="s">
        <v>469</v>
      </c>
      <c r="B172" s="12" t="n">
        <f aca="false">-B36</f>
        <v>4108</v>
      </c>
      <c r="C172" s="12" t="n">
        <f aca="false">-C36</f>
        <v>2598</v>
      </c>
      <c r="D172" s="12" t="n">
        <f aca="false">-D36</f>
        <v>12514</v>
      </c>
      <c r="E172" s="12" t="n">
        <f aca="false">-E36</f>
        <v>-6977</v>
      </c>
      <c r="F172" s="12" t="n">
        <f aca="false">-F36</f>
        <v>-8273</v>
      </c>
      <c r="G172" s="12" t="n">
        <f aca="false">-G36</f>
        <v>-1450</v>
      </c>
      <c r="H172" s="12" t="n">
        <f aca="false">-H36</f>
        <v>445</v>
      </c>
    </row>
    <row r="173" customFormat="false" ht="15" hidden="false" customHeight="true" outlineLevel="0" collapsed="false">
      <c r="A173" s="7" t="s">
        <v>470</v>
      </c>
      <c r="B173" s="10" t="n">
        <f aca="false">ABS(B49)</f>
        <v>0</v>
      </c>
      <c r="C173" s="10" t="n">
        <f aca="false">ABS(C49)</f>
        <v>1602</v>
      </c>
      <c r="D173" s="10" t="n">
        <f aca="false">ABS(D49)</f>
        <v>1613</v>
      </c>
      <c r="E173" s="10" t="n">
        <f aca="false">ABS(E49)</f>
        <v>3975</v>
      </c>
      <c r="F173" s="10" t="n">
        <f aca="false">ABS(F49)</f>
        <v>2385</v>
      </c>
      <c r="G173" s="10" t="n">
        <f aca="false">ABS(G49)</f>
        <v>3122</v>
      </c>
      <c r="H173" s="10" t="n">
        <f aca="false">ABS(H49)</f>
        <v>2287</v>
      </c>
    </row>
    <row r="174" customFormat="false" ht="15" hidden="false" customHeight="true" outlineLevel="0" collapsed="false">
      <c r="A174" s="7" t="s">
        <v>471</v>
      </c>
      <c r="B174" s="10" t="n">
        <f aca="false">ABS(B50)</f>
        <v>0</v>
      </c>
      <c r="C174" s="10" t="n">
        <f aca="false">ABS(C50)</f>
        <v>863</v>
      </c>
      <c r="D174" s="10" t="n">
        <f aca="false">ABS(D50)</f>
        <v>1460</v>
      </c>
      <c r="E174" s="10" t="n">
        <f aca="false">ABS(E50)</f>
        <v>2868</v>
      </c>
      <c r="F174" s="10" t="n">
        <f aca="false">ABS(F50)</f>
        <v>1669</v>
      </c>
      <c r="G174" s="10" t="n">
        <f aca="false">ABS(G50)</f>
        <v>2009</v>
      </c>
      <c r="H174" s="10" t="n">
        <f aca="false">ABS(H50)</f>
        <v>1876</v>
      </c>
    </row>
    <row r="175" customFormat="false" ht="15" hidden="false" customHeight="true" outlineLevel="0" collapsed="false">
      <c r="A175" s="7" t="s">
        <v>472</v>
      </c>
      <c r="B175" s="12" t="n">
        <f aca="false">-B32</f>
        <v>-0</v>
      </c>
      <c r="C175" s="12" t="n">
        <f aca="false">-C32</f>
        <v>2627</v>
      </c>
      <c r="D175" s="12" t="n">
        <f aca="false">-D32</f>
        <v>1239</v>
      </c>
      <c r="E175" s="12" t="n">
        <f aca="false">-E32</f>
        <v>-1171</v>
      </c>
      <c r="F175" s="12" t="n">
        <f aca="false">-F32</f>
        <v>2664</v>
      </c>
      <c r="G175" s="12" t="n">
        <f aca="false">-G32</f>
        <v>-2221</v>
      </c>
      <c r="H175" s="12" t="n">
        <f aca="false">-H32</f>
        <v>329</v>
      </c>
    </row>
    <row r="176" customFormat="false" ht="15" hidden="false" customHeight="true" outlineLevel="0" collapsed="false">
      <c r="A176" s="11" t="s">
        <v>473</v>
      </c>
      <c r="B176" s="21" t="n">
        <f aca="false">SUM(B170:B175)</f>
        <v>88794</v>
      </c>
      <c r="C176" s="21" t="n">
        <f aca="false">SUM(C170:C175)</f>
        <v>87112</v>
      </c>
      <c r="D176" s="21" t="n">
        <f aca="false">SUM(D170:D175)</f>
        <v>139124</v>
      </c>
      <c r="E176" s="21" t="n">
        <f aca="false">SUM(E170:E175)</f>
        <v>78117</v>
      </c>
      <c r="F176" s="21" t="n">
        <f aca="false">SUM(F170:F175)</f>
        <v>96594</v>
      </c>
      <c r="G176" s="21" t="n">
        <f aca="false">SUM(G170:G175)</f>
        <v>72855</v>
      </c>
      <c r="H176" s="21" t="n">
        <f aca="false">SUM(H170:H175)</f>
        <v>49851</v>
      </c>
    </row>
    <row r="177" customFormat="false" ht="15" hidden="false" customHeight="true" outlineLevel="0" collapsed="false">
      <c r="A177" s="7" t="s">
        <v>474</v>
      </c>
      <c r="B177" s="20" t="n">
        <f aca="false">IF(B42=0,"",B176/B42)</f>
        <v>1.12833089776987</v>
      </c>
      <c r="C177" s="20" t="n">
        <f aca="false">IF(C42=0,"",C176/C42)</f>
        <v>0.880452799676572</v>
      </c>
      <c r="D177" s="20" t="n">
        <f aca="false">IF(D42=0,"",D176/D42)</f>
        <v>1.14408361635815</v>
      </c>
      <c r="E177" s="20" t="n">
        <f aca="false">IF(E42=0,"",E176/E42)</f>
        <v>0.54063574893938</v>
      </c>
      <c r="F177" s="20" t="n">
        <f aca="false">IF(F42=0,"",F176/F42)</f>
        <v>0.595263478995015</v>
      </c>
      <c r="G177" s="20" t="n">
        <f aca="false">IF(G42=0,"",G176/G42)</f>
        <v>0.426519058853834</v>
      </c>
      <c r="H177" s="20" t="n">
        <f aca="false">IF(H42=0,"",H176/H42)</f>
        <v>0.273799781403958</v>
      </c>
    </row>
    <row r="178" customFormat="false" ht="15" hidden="false" customHeight="true" outlineLevel="0" collapsed="false">
      <c r="A178" s="7" t="s">
        <v>475</v>
      </c>
      <c r="B178" s="29" t="n">
        <f aca="false">IF(B176=0,"",B131/B176)</f>
        <v>1.0204293082866</v>
      </c>
      <c r="C178" s="29" t="n">
        <f aca="false">IF(C176=0,"",C131/C176)</f>
        <v>1.18398154100468</v>
      </c>
      <c r="D178" s="29" t="n">
        <f aca="false">IF(D176=0,"",D131/D176)</f>
        <v>0.774603950432708</v>
      </c>
      <c r="E178" s="29" t="n">
        <f aca="false">IF(E176=0,"",E131/E176)</f>
        <v>1.77437689619417</v>
      </c>
      <c r="F178" s="29" t="n">
        <f aca="false">IF(F176=0,"",F131/F176)</f>
        <v>1.60821583121105</v>
      </c>
      <c r="G178" s="29" t="n">
        <f aca="false">IF(G176=0,"",G131/G176)</f>
        <v>2.489959508613</v>
      </c>
      <c r="H178" s="29" t="n">
        <f aca="false">IF(H176=0,"",H131/H176)</f>
        <v>2.88086497763335</v>
      </c>
    </row>
    <row r="180" customFormat="false" ht="15" hidden="false" customHeight="true" outlineLevel="0" collapsed="false">
      <c r="A180" s="5" t="s">
        <v>476</v>
      </c>
      <c r="B180" s="6"/>
      <c r="C180" s="6"/>
      <c r="D180" s="6"/>
      <c r="E180" s="6"/>
      <c r="F180" s="6"/>
      <c r="G180" s="6"/>
      <c r="H180" s="6"/>
    </row>
    <row r="181" customFormat="false" ht="15" hidden="false" customHeight="true" outlineLevel="0" collapsed="false">
      <c r="A181" s="3" t="s">
        <v>477</v>
      </c>
    </row>
    <row r="182" customFormat="false" ht="15" hidden="false" customHeight="true" outlineLevel="0" collapsed="false">
      <c r="A182" s="3" t="s">
        <v>478</v>
      </c>
    </row>
    <row r="184" customFormat="false" ht="15" hidden="false" customHeight="true" outlineLevel="0" collapsed="false">
      <c r="A184" s="11" t="s">
        <v>479</v>
      </c>
    </row>
    <row r="185" customFormat="false" ht="15" hidden="false" customHeight="true" outlineLevel="0" collapsed="false">
      <c r="A185" s="7" t="s">
        <v>480</v>
      </c>
      <c r="B185" s="53" t="n">
        <v>50</v>
      </c>
      <c r="C185" s="53" t="n">
        <v>19</v>
      </c>
      <c r="D185" s="53" t="n">
        <v>19</v>
      </c>
      <c r="E185" s="53" t="n">
        <v>13</v>
      </c>
      <c r="F185" s="53" t="n">
        <v>4</v>
      </c>
      <c r="G185" s="53" t="n">
        <v>0</v>
      </c>
      <c r="H185" s="53" t="n">
        <v>0</v>
      </c>
    </row>
    <row r="186" customFormat="false" ht="15" hidden="false" customHeight="true" outlineLevel="0" collapsed="false">
      <c r="A186" s="3" t="s">
        <v>481</v>
      </c>
      <c r="B186" s="3"/>
      <c r="C186" s="3"/>
      <c r="D186" s="3"/>
      <c r="E186" s="3"/>
      <c r="F186" s="3"/>
      <c r="G186" s="3"/>
    </row>
    <row r="187" customFormat="false" ht="15" hidden="false" customHeight="true" outlineLevel="0" collapsed="false">
      <c r="A187" s="3" t="s">
        <v>482</v>
      </c>
    </row>
    <row r="188" customFormat="false" ht="15" hidden="false" customHeight="true" outlineLevel="0" collapsed="false">
      <c r="A188" s="7" t="s">
        <v>483</v>
      </c>
      <c r="B188" s="53" t="n">
        <v>0</v>
      </c>
      <c r="C188" s="53" t="n">
        <v>31</v>
      </c>
      <c r="D188" s="53" t="n">
        <v>6</v>
      </c>
      <c r="E188" s="53" t="n">
        <v>9</v>
      </c>
      <c r="F188" s="53" t="n">
        <v>2</v>
      </c>
      <c r="G188" s="53" t="n">
        <v>0</v>
      </c>
    </row>
    <row r="189" customFormat="false" ht="15" hidden="false" customHeight="true" outlineLevel="0" collapsed="false">
      <c r="A189" s="7" t="s">
        <v>484</v>
      </c>
      <c r="B189" s="53" t="n">
        <v>0</v>
      </c>
      <c r="C189" s="53" t="n">
        <v>50000</v>
      </c>
      <c r="D189" s="53" t="n">
        <v>0</v>
      </c>
      <c r="E189" s="53" t="n">
        <v>40000</v>
      </c>
      <c r="F189" s="53" t="n">
        <v>26414</v>
      </c>
      <c r="G189" s="53" t="n">
        <v>0</v>
      </c>
    </row>
    <row r="190" customFormat="false" ht="15" hidden="false" customHeight="true" outlineLevel="0" collapsed="false">
      <c r="A190" s="7" t="s">
        <v>485</v>
      </c>
      <c r="F190" s="53" t="n">
        <v>1099</v>
      </c>
    </row>
    <row r="191" customFormat="false" ht="15" hidden="false" customHeight="true" outlineLevel="0" collapsed="false">
      <c r="A191" s="7" t="s">
        <v>486</v>
      </c>
      <c r="B191" s="10" t="n">
        <f aca="false">IS!B148</f>
        <v>50</v>
      </c>
      <c r="C191" s="10" t="n">
        <f aca="false">IS!C148</f>
        <v>19</v>
      </c>
      <c r="D191" s="10" t="n">
        <f aca="false">IS!D148</f>
        <v>13</v>
      </c>
      <c r="E191" s="10" t="n">
        <f aca="false">IS!E148</f>
        <v>4</v>
      </c>
      <c r="F191" s="10" t="n">
        <f aca="false">IS!F148</f>
        <v>0</v>
      </c>
      <c r="G191" s="10" t="n">
        <f aca="false">IS!G148</f>
        <v>0</v>
      </c>
      <c r="H191" s="10" t="n">
        <f aca="false">IS!H148</f>
        <v>0</v>
      </c>
    </row>
    <row r="193" customFormat="false" ht="15" hidden="false" customHeight="true" outlineLevel="0" collapsed="false">
      <c r="A193" s="11" t="s">
        <v>487</v>
      </c>
    </row>
    <row r="194" customFormat="false" ht="15" hidden="false" customHeight="true" outlineLevel="0" collapsed="false">
      <c r="A194" s="7" t="s">
        <v>488</v>
      </c>
      <c r="B194" s="10" t="n">
        <f aca="false">ABS(IS!B162)</f>
        <v>0</v>
      </c>
      <c r="C194" s="10" t="n">
        <f aca="false">ABS(IS!C162)</f>
        <v>0</v>
      </c>
      <c r="D194" s="10" t="n">
        <f aca="false">ABS(IS!D162)</f>
        <v>0</v>
      </c>
      <c r="E194" s="10" t="n">
        <f aca="false">ABS(IS!E162)</f>
        <v>0</v>
      </c>
      <c r="F194" s="10" t="n">
        <f aca="false">ABS(IS!F162)</f>
        <v>16400</v>
      </c>
      <c r="G194" s="10" t="n">
        <f aca="false">ABS(IS!G162)</f>
        <v>67794</v>
      </c>
      <c r="H194" s="10" t="n">
        <f aca="false">ABS(IS!H162)</f>
        <v>5519</v>
      </c>
    </row>
    <row r="195" customFormat="false" ht="15" hidden="false" customHeight="true" outlineLevel="0" collapsed="false">
      <c r="A195" s="3" t="s">
        <v>489</v>
      </c>
      <c r="B195" s="3" t="n">
        <v>0</v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</row>
    <row r="196" customFormat="false" ht="15" hidden="false" customHeight="true" outlineLevel="0" collapsed="false">
      <c r="A196" s="7" t="s">
        <v>490</v>
      </c>
      <c r="G196" s="53" t="n">
        <v>67794</v>
      </c>
      <c r="H196" s="53" t="n">
        <v>5519</v>
      </c>
    </row>
    <row r="197" customFormat="false" ht="15" hidden="false" customHeight="true" outlineLevel="0" collapsed="false">
      <c r="A197" s="7" t="s">
        <v>491</v>
      </c>
      <c r="G197" s="53" t="n">
        <v>2794</v>
      </c>
    </row>
    <row r="198" customFormat="false" ht="15" hidden="false" customHeight="true" outlineLevel="0" collapsed="false">
      <c r="A198" s="11" t="s">
        <v>492</v>
      </c>
      <c r="B198" s="53" t="n">
        <v>0</v>
      </c>
      <c r="C198" s="12" t="n">
        <f aca="false">B198+C189+C194</f>
        <v>50000</v>
      </c>
      <c r="D198" s="12" t="n">
        <f aca="false">C198+D189+D194</f>
        <v>50000</v>
      </c>
      <c r="E198" s="12" t="n">
        <f aca="false">D198+E189+E194</f>
        <v>90000</v>
      </c>
      <c r="F198" s="12" t="n">
        <f aca="false">E198+F189+F194</f>
        <v>132814</v>
      </c>
      <c r="G198" s="12" t="n">
        <f aca="false">F198+G189+G194</f>
        <v>200608</v>
      </c>
      <c r="H198" s="26" t="n">
        <f aca="false">G198+H189+H194</f>
        <v>206127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493</v>
      </c>
    </row>
    <row r="2" customFormat="false" ht="15" hidden="false" customHeight="true" outlineLevel="0" collapsed="false">
      <c r="A2" s="3" t="s">
        <v>494</v>
      </c>
    </row>
    <row r="3" customFormat="false" ht="23.25" hidden="false" customHeight="true" outlineLevel="0" collapsed="false"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495</v>
      </c>
    </row>
    <row r="5" customFormat="false" ht="15" hidden="false" customHeight="true" outlineLevel="0" collapsed="false">
      <c r="A5" s="5" t="s">
        <v>496</v>
      </c>
      <c r="B5" s="6"/>
      <c r="C5" s="6"/>
      <c r="D5" s="6"/>
      <c r="E5" s="6"/>
      <c r="F5" s="6"/>
      <c r="G5" s="6"/>
      <c r="H5" s="6"/>
    </row>
    <row r="6" customFormat="false" ht="15" hidden="false" customHeight="true" outlineLevel="0" collapsed="false">
      <c r="A6" s="7" t="s">
        <v>37</v>
      </c>
      <c r="B6" s="10" t="n">
        <f aca="false">IS!B42</f>
        <v>78695</v>
      </c>
      <c r="C6" s="10" t="n">
        <f aca="false">IS!C42</f>
        <v>98940</v>
      </c>
      <c r="D6" s="10" t="n">
        <f aca="false">IS!D42</f>
        <v>121603</v>
      </c>
      <c r="E6" s="10" t="n">
        <f aca="false">IS!E42</f>
        <v>144491</v>
      </c>
      <c r="F6" s="10" t="n">
        <f aca="false">IS!F42</f>
        <v>162271</v>
      </c>
      <c r="G6" s="10" t="n">
        <f aca="false">IS!G42</f>
        <v>170813</v>
      </c>
      <c r="H6" s="10" t="n">
        <f aca="false">IS!H42</f>
        <v>182071</v>
      </c>
    </row>
    <row r="7" customFormat="false" ht="15" hidden="false" customHeight="true" outlineLevel="0" collapsed="false">
      <c r="A7" s="7" t="s">
        <v>497</v>
      </c>
      <c r="B7" s="10" t="n">
        <f aca="false">IS!B150</f>
        <v>91571</v>
      </c>
      <c r="C7" s="10" t="n">
        <f aca="false">IS!C150</f>
        <v>104427</v>
      </c>
      <c r="D7" s="10" t="n">
        <f aca="false">IS!D150</f>
        <v>129564</v>
      </c>
      <c r="E7" s="10" t="n">
        <f aca="false">IS!E150</f>
        <v>153027</v>
      </c>
      <c r="F7" s="10" t="n">
        <f aca="false">IS!F150</f>
        <v>167218</v>
      </c>
      <c r="G7" s="10" t="n">
        <f aca="false">IS!G150</f>
        <v>176936</v>
      </c>
      <c r="H7" s="10" t="n">
        <f aca="false">IS!H150</f>
        <v>182133</v>
      </c>
    </row>
    <row r="8" customFormat="false" ht="15" hidden="false" customHeight="true" outlineLevel="0" collapsed="false">
      <c r="A8" s="7" t="s">
        <v>39</v>
      </c>
      <c r="B8" s="8" t="n">
        <f aca="false">IS!B127</f>
        <v>0.0828070398373467</v>
      </c>
      <c r="C8" s="8" t="n">
        <f aca="false">IS!C127</f>
        <v>0.0730665049524965</v>
      </c>
      <c r="D8" s="8" t="n">
        <f aca="false">IS!D127</f>
        <v>0.0303956316867183</v>
      </c>
      <c r="E8" s="8" t="n">
        <f aca="false">IS!E127</f>
        <v>0.0699064301582798</v>
      </c>
      <c r="F8" s="8" t="n">
        <f aca="false">IS!F127</f>
        <v>0.10630211189923</v>
      </c>
      <c r="G8" s="8" t="n">
        <f aca="false">IS!G127</f>
        <v>-0.054802913127221</v>
      </c>
      <c r="H8" s="8" t="n">
        <f aca="false">IS!H127</f>
        <v>-0.0320600205414371</v>
      </c>
    </row>
    <row r="9" customFormat="false" ht="15" hidden="false" customHeight="true" outlineLevel="0" collapsed="false">
      <c r="A9" s="7" t="s">
        <v>165</v>
      </c>
      <c r="B9" s="8" t="n">
        <f aca="false">IF(B6=0,"",(CFS!B19+CFS!B41)/B6)</f>
        <v>0.585691594129233</v>
      </c>
      <c r="C9" s="8" t="n">
        <f aca="false">IF(C6=0,"",(CFS!C19+CFS!C41)/C6)</f>
        <v>0.287841115827774</v>
      </c>
      <c r="D9" s="8" t="n">
        <f aca="false">IF(D6=0,"",(CFS!D19+CFS!D41)/D6)</f>
        <v>0.230232806756412</v>
      </c>
      <c r="E9" s="8" t="n">
        <f aca="false">IF(E6=0,"",(CFS!E19+CFS!E41)/E6)</f>
        <v>0.566090621561205</v>
      </c>
      <c r="F9" s="8" t="n">
        <f aca="false">IF(F6=0,"",(CFS!F19+CFS!F41)/F6)</f>
        <v>0.404471532189979</v>
      </c>
      <c r="G9" s="8" t="n">
        <f aca="false">IF(G6=0,"",(CFS!G19+CFS!G41)/G6)</f>
        <v>0.58963896190571</v>
      </c>
      <c r="H9" s="8" t="n">
        <f aca="false">IF(H6=0,"",(CFS!H19+CFS!H41)/H6)</f>
        <v>0.366401019382549</v>
      </c>
    </row>
    <row r="10" customFormat="false" ht="15" hidden="false" customHeight="true" outlineLevel="0" collapsed="false">
      <c r="A10" s="7" t="s">
        <v>40</v>
      </c>
      <c r="B10" s="85" t="n">
        <v>0.82</v>
      </c>
      <c r="C10" s="85" t="n">
        <v>0.82</v>
      </c>
      <c r="D10" s="85" t="n">
        <v>0.82</v>
      </c>
      <c r="E10" s="85" t="n">
        <v>0.84</v>
      </c>
      <c r="F10" s="85" t="n">
        <v>0.85</v>
      </c>
      <c r="G10" s="85" t="n">
        <v>0.96</v>
      </c>
      <c r="H10" s="85" t="n">
        <v>0.72</v>
      </c>
    </row>
    <row r="11" customFormat="false" ht="15" hidden="false" customHeight="true" outlineLevel="0" collapsed="false">
      <c r="A11" s="7" t="s">
        <v>498</v>
      </c>
      <c r="B11" s="85" t="n">
        <v>0.82</v>
      </c>
      <c r="C11" s="85" t="n">
        <v>0.93</v>
      </c>
      <c r="D11" s="85" t="n">
        <v>0.93</v>
      </c>
      <c r="E11" s="85" t="n">
        <v>1.04</v>
      </c>
      <c r="F11" s="85" t="n">
        <v>1.05</v>
      </c>
      <c r="G11" s="85" t="n">
        <v>1.16</v>
      </c>
      <c r="H11" s="85" t="n">
        <v>0.87</v>
      </c>
    </row>
    <row r="12" customFormat="false" ht="15" hidden="false" customHeight="true" outlineLevel="0" collapsed="false">
      <c r="A12" s="7" t="s">
        <v>12</v>
      </c>
      <c r="B12" s="8" t="n">
        <f aca="false">BS!B37</f>
        <v>20.6704742767907</v>
      </c>
      <c r="C12" s="8" t="n">
        <f aca="false">BS!C37</f>
        <v>19.8174514253976</v>
      </c>
      <c r="D12" s="8" t="n">
        <f aca="false">BS!D37</f>
        <v>18.7228782686549</v>
      </c>
      <c r="E12" s="8" t="n">
        <f aca="false">BS!E37</f>
        <v>19.8532285152293</v>
      </c>
      <c r="F12" s="8" t="n">
        <f aca="false">BS!F37</f>
        <v>20.0709732205863</v>
      </c>
      <c r="G12" s="8" t="n">
        <f aca="false">BS!G37</f>
        <v>20.4071867794005</v>
      </c>
      <c r="H12" s="8" t="n">
        <f aca="false">BS!H37</f>
        <v>20.0952655477042</v>
      </c>
    </row>
    <row r="13" customFormat="false" ht="15" hidden="false" customHeight="true" outlineLevel="0" collapsed="false">
      <c r="A13" s="7" t="s">
        <v>11</v>
      </c>
      <c r="B13" s="8" t="n">
        <f aca="false">BS!B38</f>
        <v>0</v>
      </c>
      <c r="C13" s="8" t="n">
        <f aca="false">BS!C38</f>
        <v>19.34</v>
      </c>
      <c r="D13" s="8" t="n">
        <f aca="false">BS!D38</f>
        <v>20.63</v>
      </c>
      <c r="E13" s="8" t="n">
        <f aca="false">BS!E38</f>
        <v>22.59</v>
      </c>
      <c r="F13" s="8" t="n">
        <f aca="false">BS!F38</f>
        <v>23.18</v>
      </c>
      <c r="G13" s="8" t="n">
        <f aca="false">BS!G38</f>
        <v>24.26</v>
      </c>
      <c r="H13" s="8" t="n">
        <f aca="false">BS!H38</f>
        <v>24.36</v>
      </c>
    </row>
    <row r="14" customFormat="false" ht="15" hidden="false" customHeight="true" outlineLevel="0" collapsed="false">
      <c r="A14" s="7" t="s">
        <v>14</v>
      </c>
      <c r="C14" s="13" t="n">
        <f aca="false">IF(C12=0,"",C13/C12-1)</f>
        <v>-0.0240924736056501</v>
      </c>
      <c r="D14" s="13" t="n">
        <f aca="false">IF(D12=0,"",D13/D12-1)</f>
        <v>0.101860499437095</v>
      </c>
      <c r="E14" s="13" t="n">
        <f aca="false">IF(E12=0,"",E13/E12-1)</f>
        <v>0.137850198151464</v>
      </c>
      <c r="F14" s="13" t="n">
        <f aca="false">IF(F12=0,"",F13/F12-1)</f>
        <v>0.154901645537788</v>
      </c>
      <c r="G14" s="13" t="n">
        <f aca="false">IF(G12=0,"",G13/G12-1)</f>
        <v>0.188796881326566</v>
      </c>
      <c r="H14" s="13" t="n">
        <f aca="false">IF(H12=0,"",H13/H12-1)</f>
        <v>0.212225832108155</v>
      </c>
    </row>
    <row r="16" customFormat="false" ht="15" hidden="false" customHeight="true" outlineLevel="0" collapsed="false">
      <c r="A16" s="5" t="s">
        <v>499</v>
      </c>
      <c r="B16" s="6"/>
      <c r="C16" s="6"/>
      <c r="D16" s="6"/>
      <c r="E16" s="6"/>
      <c r="F16" s="6"/>
      <c r="G16" s="6"/>
      <c r="H16" s="6"/>
    </row>
    <row r="17" customFormat="false" ht="15" hidden="false" customHeight="true" outlineLevel="0" collapsed="false">
      <c r="A17" s="7" t="s">
        <v>500</v>
      </c>
      <c r="B17" s="23" t="n">
        <f aca="false">BS!B42</f>
        <v>0.0433</v>
      </c>
      <c r="C17" s="23" t="n">
        <f aca="false">BS!C42</f>
        <v>0.042</v>
      </c>
      <c r="D17" s="23" t="n">
        <f aca="false">BS!D42</f>
        <v>0.0408</v>
      </c>
      <c r="E17" s="23" t="n">
        <f aca="false">BS!E42</f>
        <v>0.0406</v>
      </c>
      <c r="F17" s="23" t="n">
        <f aca="false">BS!F42</f>
        <v>0.0438</v>
      </c>
      <c r="G17" s="23" t="n">
        <f aca="false">BS!G42</f>
        <v>0.0438</v>
      </c>
      <c r="H17" s="23" t="n">
        <f aca="false">BS!H42</f>
        <v>0.0436</v>
      </c>
    </row>
    <row r="18" customFormat="false" ht="15" hidden="false" customHeight="true" outlineLevel="0" collapsed="false">
      <c r="A18" s="7" t="s">
        <v>26</v>
      </c>
      <c r="B18" s="9" t="n">
        <f aca="false">IS!B18</f>
        <v>0.682996385502216</v>
      </c>
      <c r="C18" s="9" t="n">
        <f aca="false">IS!C18</f>
        <v>0.654540738579256</v>
      </c>
      <c r="D18" s="9" t="n">
        <f aca="false">IS!D18</f>
        <v>0.63111438028687</v>
      </c>
      <c r="E18" s="9" t="n">
        <f aca="false">IS!E18</f>
        <v>0.644915739166176</v>
      </c>
      <c r="F18" s="9" t="n">
        <f aca="false">IS!F18</f>
        <v>0.644483544431295</v>
      </c>
      <c r="G18" s="9" t="n">
        <f aca="false">IS!G18</f>
        <v>0.650353603558591</v>
      </c>
      <c r="H18" s="9" t="n">
        <f aca="false">IS!H18</f>
        <v>0.637833102244877</v>
      </c>
    </row>
    <row r="19" customFormat="false" ht="15" hidden="false" customHeight="true" outlineLevel="0" collapsed="false">
      <c r="A19" s="7" t="s">
        <v>501</v>
      </c>
      <c r="B19" s="9" t="n">
        <f aca="false">IS!B134</f>
        <v>13.9043965318806</v>
      </c>
      <c r="C19" s="9" t="n">
        <f aca="false">IS!C134</f>
        <v>14.2670004979804</v>
      </c>
      <c r="D19" s="9" t="n">
        <f aca="false">IS!D134</f>
        <v>29.1558898328013</v>
      </c>
      <c r="E19" s="9" t="n">
        <f aca="false">IS!E134</f>
        <v>13.7225085017598</v>
      </c>
      <c r="F19" s="9" t="n">
        <f aca="false">IS!F134</f>
        <v>9.00557979101146</v>
      </c>
      <c r="G19" s="9" t="n">
        <f aca="false">IS!G134</f>
        <v>-19.378809001127</v>
      </c>
      <c r="H19" s="9" t="n">
        <f aca="false">IS!H134</f>
        <v>-24.6032344274652</v>
      </c>
    </row>
    <row r="20" customFormat="false" ht="15" hidden="false" customHeight="true" outlineLevel="0" collapsed="false">
      <c r="A20" s="7" t="s">
        <v>57</v>
      </c>
      <c r="B20" s="22" t="n">
        <f aca="false">BS!B41</f>
        <v>7.80005378355626</v>
      </c>
      <c r="C20" s="22" t="n">
        <f aca="false">BS!C41</f>
        <v>10.6482411032847</v>
      </c>
      <c r="D20" s="22" t="n">
        <f aca="false">BS!D41</f>
        <v>12.5001172486892</v>
      </c>
      <c r="E20" s="22" t="n">
        <f aca="false">BS!E41</f>
        <v>18.8269225146199</v>
      </c>
      <c r="F20" s="22" t="n">
        <f aca="false">BS!F41</f>
        <v>19.1721824303643</v>
      </c>
      <c r="G20" s="22" t="n">
        <f aca="false">BS!G41</f>
        <v>20.6282555564042</v>
      </c>
      <c r="H20" s="22" t="n">
        <f aca="false">BS!H41</f>
        <v>28.3188699128515</v>
      </c>
    </row>
    <row r="21" customFormat="false" ht="15" hidden="false" customHeight="true" outlineLevel="0" collapsed="false">
      <c r="A21" s="7" t="s">
        <v>84</v>
      </c>
      <c r="C21" s="9" t="n">
        <f aca="false">IS!C80</f>
        <v>0.012</v>
      </c>
      <c r="D21" s="9" t="n">
        <f aca="false">IS!D80</f>
        <v>-0.005</v>
      </c>
      <c r="E21" s="9" t="n">
        <f aca="false">IS!E80</f>
        <v>0.1</v>
      </c>
      <c r="F21" s="9" t="n">
        <f aca="false">IS!F80</f>
        <v>0.1098</v>
      </c>
      <c r="G21" s="9" t="n">
        <f aca="false">IS!G80</f>
        <v>0.0863</v>
      </c>
      <c r="H21" s="9" t="n">
        <f aca="false">IS!H80</f>
        <v>0</v>
      </c>
    </row>
    <row r="22" customFormat="false" ht="15" hidden="false" customHeight="true" outlineLevel="0" collapsed="false">
      <c r="A22" s="7" t="s">
        <v>85</v>
      </c>
      <c r="B22" s="64" t="n">
        <v>0.0297</v>
      </c>
      <c r="C22" s="64" t="n">
        <v>0.0256</v>
      </c>
      <c r="D22" s="64" t="n">
        <v>0.0262</v>
      </c>
      <c r="E22" s="64" t="n">
        <v>0.0291</v>
      </c>
      <c r="F22" s="64" t="n">
        <v>0.0329</v>
      </c>
      <c r="G22" s="64" t="n">
        <v>0.0324</v>
      </c>
      <c r="H22" s="64" t="n">
        <v>0.0314</v>
      </c>
    </row>
    <row r="23" customFormat="false" ht="15" hidden="false" customHeight="true" outlineLevel="0" collapsed="false">
      <c r="A23" s="7" t="s">
        <v>62</v>
      </c>
      <c r="B23" s="9" t="n">
        <f aca="false">IS!B72</f>
        <v>0.261077844311377</v>
      </c>
      <c r="C23" s="9" t="n">
        <f aca="false">IS!C72</f>
        <v>0.347396968496136</v>
      </c>
      <c r="D23" s="9" t="n">
        <f aca="false">IS!D72</f>
        <v>0.444546681388787</v>
      </c>
      <c r="E23" s="9" t="n">
        <f aca="false">IS!E72</f>
        <v>0.393555401428384</v>
      </c>
      <c r="F23" s="9" t="n">
        <f aca="false">IS!F72</f>
        <v>0.26466264560084</v>
      </c>
      <c r="G23" s="9" t="n">
        <f aca="false">IS!G72</f>
        <v>0.242261410879462</v>
      </c>
    </row>
    <row r="25" customFormat="false" ht="15" hidden="false" customHeight="true" outlineLevel="0" collapsed="false">
      <c r="A25" s="5" t="s">
        <v>502</v>
      </c>
      <c r="B25" s="6"/>
      <c r="C25" s="6"/>
      <c r="D25" s="6"/>
      <c r="E25" s="6"/>
      <c r="F25" s="6"/>
      <c r="G25" s="6"/>
      <c r="H25" s="6"/>
    </row>
    <row r="26" customFormat="false" ht="15" hidden="false" customHeight="true" outlineLevel="0" collapsed="false">
      <c r="A26" s="3" t="s">
        <v>503</v>
      </c>
    </row>
    <row r="28" customFormat="false" ht="15" hidden="false" customHeight="true" outlineLevel="0" collapsed="false">
      <c r="A28" s="7" t="s">
        <v>504</v>
      </c>
      <c r="C28" s="20" t="n">
        <f aca="false">B12</f>
        <v>20.6704742767907</v>
      </c>
      <c r="D28" s="20" t="n">
        <f aca="false">C12</f>
        <v>19.8174514253976</v>
      </c>
      <c r="E28" s="20" t="n">
        <f aca="false">D12</f>
        <v>18.7228782686549</v>
      </c>
      <c r="F28" s="20" t="n">
        <f aca="false">E12</f>
        <v>19.8532285152293</v>
      </c>
      <c r="G28" s="20" t="n">
        <f aca="false">F12</f>
        <v>20.0709732205863</v>
      </c>
      <c r="H28" s="20" t="n">
        <f aca="false">G12</f>
        <v>20.4071867794005</v>
      </c>
    </row>
    <row r="29" customFormat="false" ht="15" hidden="false" customHeight="true" outlineLevel="0" collapsed="false">
      <c r="A29" s="7" t="s">
        <v>505</v>
      </c>
      <c r="C29" s="20" t="n">
        <f aca="false">C12</f>
        <v>19.8174514253976</v>
      </c>
      <c r="D29" s="20" t="n">
        <f aca="false">D12</f>
        <v>18.7228782686549</v>
      </c>
      <c r="E29" s="20" t="n">
        <f aca="false">E12</f>
        <v>19.8532285152293</v>
      </c>
      <c r="F29" s="20" t="n">
        <f aca="false">F12</f>
        <v>20.0709732205863</v>
      </c>
      <c r="G29" s="20" t="n">
        <f aca="false">G12</f>
        <v>20.4071867794005</v>
      </c>
      <c r="H29" s="20" t="n">
        <f aca="false">H12</f>
        <v>20.0952655477042</v>
      </c>
    </row>
    <row r="30" customFormat="false" ht="15" hidden="false" customHeight="true" outlineLevel="0" collapsed="false">
      <c r="A30" s="7" t="s">
        <v>506</v>
      </c>
      <c r="C30" s="20" t="n">
        <f aca="false">C10</f>
        <v>0.82</v>
      </c>
      <c r="D30" s="20" t="n">
        <f aca="false">D10</f>
        <v>0.82</v>
      </c>
      <c r="E30" s="20" t="n">
        <f aca="false">E10</f>
        <v>0.84</v>
      </c>
      <c r="F30" s="20" t="n">
        <f aca="false">F10</f>
        <v>0.85</v>
      </c>
      <c r="G30" s="20" t="n">
        <f aca="false">G10</f>
        <v>0.96</v>
      </c>
      <c r="H30" s="20" t="n">
        <f aca="false">H10</f>
        <v>0.72</v>
      </c>
    </row>
    <row r="31" customFormat="false" ht="15" hidden="false" customHeight="true" outlineLevel="0" collapsed="false">
      <c r="A31" s="11" t="s">
        <v>507</v>
      </c>
      <c r="C31" s="57" t="n">
        <f aca="false">IF(C28=0,"",(C29-C28+C30)/C28)</f>
        <v>-0.00159758556822866</v>
      </c>
      <c r="D31" s="57" t="n">
        <f aca="false">IF(D28=0,"",(D29-D28+D30)/D28)</f>
        <v>-0.0138551194524885</v>
      </c>
      <c r="E31" s="57" t="n">
        <f aca="false">IF(E28=0,"",(E29-E28+E30)/E28)</f>
        <v>0.105237571825329</v>
      </c>
      <c r="F31" s="57" t="n">
        <f aca="false">IF(F28=0,"",(F29-F28+F30)/F28)</f>
        <v>0.0537819178647895</v>
      </c>
      <c r="G31" s="57" t="n">
        <f aca="false">IF(G28=0,"",(G29-G28+G30)/G28)</f>
        <v>0.0645815000881306</v>
      </c>
      <c r="H31" s="57" t="n">
        <f aca="false">IF(H28=0,"",(H29-H28+H30)/H28)</f>
        <v>0.0199968164507425</v>
      </c>
    </row>
    <row r="32" customFormat="false" ht="15" hidden="false" customHeight="true" outlineLevel="0" collapsed="false">
      <c r="A32" s="7" t="s">
        <v>508</v>
      </c>
      <c r="C32" s="13" t="n">
        <f aca="false">IF(C28=0,"",(C29-C28)/C28)</f>
        <v>-0.0412676961336508</v>
      </c>
      <c r="D32" s="13" t="n">
        <f aca="false">IF(D28=0,"",(D29-D28)/D28)</f>
        <v>-0.055232791202404</v>
      </c>
      <c r="E32" s="13" t="n">
        <f aca="false">IF(E28=0,"",(E29-E28)/E28)</f>
        <v>0.0603726750959469</v>
      </c>
      <c r="F32" s="13" t="n">
        <f aca="false">IF(F28=0,"",(F29-F28)/F28)</f>
        <v>0.0109677227152213</v>
      </c>
      <c r="G32" s="13" t="n">
        <f aca="false">IF(G28=0,"",(G29-G28)/G28)</f>
        <v>0.0167512334912248</v>
      </c>
      <c r="H32" s="13" t="n">
        <f aca="false">IF(H28=0,"",(H29-H28)/H28)</f>
        <v>-0.0152848717007467</v>
      </c>
    </row>
    <row r="33" customFormat="false" ht="15" hidden="false" customHeight="true" outlineLevel="0" collapsed="false">
      <c r="A33" s="7" t="s">
        <v>509</v>
      </c>
      <c r="C33" s="13" t="n">
        <f aca="false">IF(C28=0,"",C30/C28)</f>
        <v>0.0396701105654221</v>
      </c>
      <c r="D33" s="13" t="n">
        <f aca="false">IF(D28=0,"",D30/D28)</f>
        <v>0.0413776717499156</v>
      </c>
      <c r="E33" s="13" t="n">
        <f aca="false">IF(E28=0,"",E30/E28)</f>
        <v>0.0448648967293825</v>
      </c>
      <c r="F33" s="13" t="n">
        <f aca="false">IF(F28=0,"",F30/F28)</f>
        <v>0.0428141951495681</v>
      </c>
      <c r="G33" s="13" t="n">
        <f aca="false">IF(G28=0,"",G30/G28)</f>
        <v>0.0478302665969058</v>
      </c>
      <c r="H33" s="13" t="n">
        <f aca="false">IF(H28=0,"",H30/H28)</f>
        <v>0.0352816881514892</v>
      </c>
    </row>
    <row r="35" customFormat="false" ht="15" hidden="false" customHeight="true" outlineLevel="0" collapsed="false">
      <c r="A35" s="11" t="s">
        <v>510</v>
      </c>
      <c r="C35" s="86" t="n">
        <f aca="false">1+C31</f>
        <v>0.998402414431771</v>
      </c>
      <c r="D35" s="86" t="n">
        <f aca="false">C35*(1+D31)</f>
        <v>0.984569429718166</v>
      </c>
      <c r="E35" s="86" t="n">
        <f aca="false">D35*(1+E31)</f>
        <v>1.08818312579516</v>
      </c>
      <c r="F35" s="86" t="n">
        <f aca="false">E35*(1+F31)</f>
        <v>1.14670770128852</v>
      </c>
      <c r="G35" s="86" t="n">
        <f aca="false">F35*(1+G31)</f>
        <v>1.22076380480034</v>
      </c>
    </row>
    <row r="36" customFormat="false" ht="15" hidden="false" customHeight="true" outlineLevel="0" collapsed="false">
      <c r="A36" s="7" t="s">
        <v>511</v>
      </c>
      <c r="D36" s="13" t="n">
        <f aca="false">IF(D35=0,"",D35^(1/1)-1)</f>
        <v>-0.0154305702818338</v>
      </c>
      <c r="E36" s="13" t="n">
        <f aca="false">IF(E35=0,"",E35^(1/2)-1)</f>
        <v>0.043160163059899</v>
      </c>
      <c r="F36" s="13" t="n">
        <f aca="false">IF(F35=0,"",F35^(1/3)-1)</f>
        <v>0.046688798432923</v>
      </c>
      <c r="G36" s="13" t="n">
        <f aca="false">IF(G35=0,"",G35^(1/4)-1)</f>
        <v>0.0511335813328608</v>
      </c>
    </row>
    <row r="38" customFormat="false" ht="15" hidden="false" customHeight="true" outlineLevel="0" collapsed="false">
      <c r="A38" s="5" t="s">
        <v>512</v>
      </c>
      <c r="B38" s="6"/>
      <c r="C38" s="6"/>
      <c r="D38" s="6"/>
      <c r="E38" s="6"/>
      <c r="F38" s="6"/>
      <c r="G38" s="6"/>
      <c r="H38" s="6"/>
    </row>
    <row r="39" customFormat="false" ht="15" hidden="false" customHeight="true" outlineLevel="0" collapsed="false">
      <c r="A39" s="3" t="s">
        <v>513</v>
      </c>
    </row>
    <row r="41" customFormat="false" ht="15" hidden="false" customHeight="true" outlineLevel="0" collapsed="false">
      <c r="A41" s="7" t="s">
        <v>514</v>
      </c>
      <c r="D41" s="20" t="n">
        <f aca="false">C13</f>
        <v>19.34</v>
      </c>
      <c r="E41" s="20" t="n">
        <f aca="false">D13</f>
        <v>20.63</v>
      </c>
      <c r="F41" s="20" t="n">
        <f aca="false">E13</f>
        <v>22.59</v>
      </c>
      <c r="G41" s="20" t="n">
        <f aca="false">F13</f>
        <v>23.18</v>
      </c>
      <c r="H41" s="20" t="n">
        <f aca="false">G13</f>
        <v>24.26</v>
      </c>
    </row>
    <row r="42" customFormat="false" ht="15" hidden="false" customHeight="true" outlineLevel="0" collapsed="false">
      <c r="A42" s="7" t="s">
        <v>515</v>
      </c>
      <c r="D42" s="20" t="n">
        <f aca="false">D13</f>
        <v>20.63</v>
      </c>
      <c r="E42" s="20" t="n">
        <f aca="false">E13</f>
        <v>22.59</v>
      </c>
      <c r="F42" s="20" t="n">
        <f aca="false">F13</f>
        <v>23.18</v>
      </c>
      <c r="G42" s="20" t="n">
        <f aca="false">G13</f>
        <v>24.26</v>
      </c>
      <c r="H42" s="20" t="n">
        <f aca="false">H13</f>
        <v>24.36</v>
      </c>
    </row>
    <row r="43" customFormat="false" ht="15" hidden="false" customHeight="true" outlineLevel="0" collapsed="false">
      <c r="A43" s="7" t="s">
        <v>506</v>
      </c>
      <c r="D43" s="20" t="n">
        <f aca="false">D10</f>
        <v>0.82</v>
      </c>
      <c r="E43" s="20" t="n">
        <f aca="false">E10</f>
        <v>0.84</v>
      </c>
      <c r="F43" s="20" t="n">
        <f aca="false">F10</f>
        <v>0.85</v>
      </c>
      <c r="G43" s="20" t="n">
        <f aca="false">G10</f>
        <v>0.96</v>
      </c>
      <c r="H43" s="20" t="n">
        <f aca="false">H10</f>
        <v>0.72</v>
      </c>
    </row>
    <row r="44" customFormat="false" ht="15" hidden="false" customHeight="true" outlineLevel="0" collapsed="false">
      <c r="A44" s="11" t="s">
        <v>516</v>
      </c>
      <c r="D44" s="57" t="n">
        <f aca="false">IF(D41=0,"",(D42-D41+D43)/D41)</f>
        <v>0.109100310237849</v>
      </c>
      <c r="E44" s="57" t="n">
        <f aca="false">IF(E41=0,"",(E42-E41+E43)/E41)</f>
        <v>0.135724672806592</v>
      </c>
      <c r="F44" s="57" t="n">
        <f aca="false">IF(F41=0,"",(F42-F41+F43)/F41)</f>
        <v>0.0637450199203187</v>
      </c>
      <c r="G44" s="57" t="n">
        <f aca="false">IF(G41=0,"",(G42-G41+G43)/G41)</f>
        <v>0.0880069025021571</v>
      </c>
      <c r="H44" s="57" t="n">
        <f aca="false">IF(H41=0,"",(H42-H41+H43)/H41)</f>
        <v>0.0338004946413849</v>
      </c>
    </row>
    <row r="46" customFormat="false" ht="15" hidden="false" customHeight="true" outlineLevel="0" collapsed="false">
      <c r="A46" s="5" t="s">
        <v>517</v>
      </c>
      <c r="B46" s="6"/>
      <c r="C46" s="6"/>
      <c r="D46" s="6"/>
      <c r="E46" s="6"/>
      <c r="F46" s="6"/>
      <c r="G46" s="6"/>
      <c r="H46" s="6"/>
    </row>
    <row r="47" customFormat="false" ht="15" hidden="false" customHeight="true" outlineLevel="0" collapsed="false">
      <c r="A47" s="3" t="s">
        <v>518</v>
      </c>
    </row>
    <row r="49" customFormat="false" ht="15" hidden="false" customHeight="true" outlineLevel="0" collapsed="false">
      <c r="A49" s="7" t="s">
        <v>519</v>
      </c>
      <c r="B49" s="10" t="n">
        <f aca="false">IS!H17</f>
        <v>176188</v>
      </c>
    </row>
    <row r="50" customFormat="false" ht="15" hidden="false" customHeight="true" outlineLevel="0" collapsed="false">
      <c r="A50" s="7" t="s">
        <v>520</v>
      </c>
      <c r="B50" s="12" t="n">
        <f aca="false">B49/9*12</f>
        <v>234917.333333333</v>
      </c>
    </row>
    <row r="51" customFormat="false" ht="15" hidden="false" customHeight="true" outlineLevel="0" collapsed="false">
      <c r="A51" s="7" t="s">
        <v>521</v>
      </c>
      <c r="B51" s="66" t="n">
        <v>0.05</v>
      </c>
    </row>
    <row r="52" customFormat="false" ht="15" hidden="false" customHeight="true" outlineLevel="0" collapsed="false">
      <c r="A52" s="7" t="s">
        <v>522</v>
      </c>
      <c r="B52" s="12" t="n">
        <f aca="false">B50*(1+B51)</f>
        <v>246663.2</v>
      </c>
    </row>
    <row r="53" customFormat="false" ht="15" hidden="false" customHeight="true" outlineLevel="0" collapsed="false">
      <c r="A53" s="7" t="s">
        <v>523</v>
      </c>
      <c r="B53" s="53" t="n">
        <v>282971</v>
      </c>
    </row>
    <row r="55" customFormat="false" ht="15" hidden="false" customHeight="true" outlineLevel="0" collapsed="false">
      <c r="A55" s="7" t="s">
        <v>524</v>
      </c>
      <c r="B55" s="10" t="n">
        <f aca="false">BS!H7</f>
        <v>6492428</v>
      </c>
    </row>
    <row r="56" customFormat="false" ht="15" hidden="false" customHeight="true" outlineLevel="0" collapsed="false">
      <c r="A56" s="7" t="s">
        <v>525</v>
      </c>
      <c r="B56" s="10" t="n">
        <f aca="false">BS!H9</f>
        <v>392675</v>
      </c>
    </row>
    <row r="57" customFormat="false" ht="15" hidden="false" customHeight="true" outlineLevel="0" collapsed="false">
      <c r="A57" s="11" t="s">
        <v>526</v>
      </c>
      <c r="B57" s="21" t="n">
        <f aca="false">B55+B56</f>
        <v>6885103</v>
      </c>
    </row>
    <row r="59" customFormat="false" ht="15" hidden="false" customHeight="true" outlineLevel="0" collapsed="false">
      <c r="A59" s="11" t="s">
        <v>527</v>
      </c>
      <c r="B59" s="87" t="n">
        <f aca="false">IF(B57=0,"",B53/B57)</f>
        <v>0.0410990220480362</v>
      </c>
    </row>
    <row r="60" customFormat="false" ht="15" hidden="false" customHeight="true" outlineLevel="0" collapsed="false">
      <c r="A60" s="11" t="s">
        <v>528</v>
      </c>
      <c r="B60" s="88" t="n">
        <f aca="false">IF(B57=0,"",B52/B57)</f>
        <v>0.035825636885897</v>
      </c>
    </row>
    <row r="61" customFormat="false" ht="15" hidden="false" customHeight="true" outlineLevel="0" collapsed="false">
      <c r="A61" s="7" t="s">
        <v>529</v>
      </c>
      <c r="B61" s="8" t="n">
        <f aca="false">BS!H38</f>
        <v>24.36</v>
      </c>
    </row>
    <row r="62" customFormat="false" ht="15" hidden="false" customHeight="true" outlineLevel="0" collapsed="false">
      <c r="A62" s="7" t="s">
        <v>530</v>
      </c>
      <c r="B62" s="10" t="n">
        <f aca="false">IS!H150</f>
        <v>182133</v>
      </c>
    </row>
    <row r="63" customFormat="false" ht="15" hidden="false" customHeight="true" outlineLevel="0" collapsed="false">
      <c r="A63" s="7" t="s">
        <v>531</v>
      </c>
      <c r="B63" s="12" t="n">
        <f aca="false">B61*B62</f>
        <v>4436759.88</v>
      </c>
    </row>
    <row r="64" customFormat="false" ht="15" hidden="false" customHeight="true" outlineLevel="0" collapsed="false">
      <c r="A64" s="7" t="s">
        <v>532</v>
      </c>
      <c r="B64" s="10" t="n">
        <f aca="false">BS!H40</f>
        <v>3385974</v>
      </c>
    </row>
    <row r="65" customFormat="false" ht="15" hidden="false" customHeight="true" outlineLevel="0" collapsed="false">
      <c r="A65" s="7" t="s">
        <v>533</v>
      </c>
      <c r="B65" s="12" t="n">
        <f aca="false">BS!H10+BS!H11+BS!H12+BS!H13+BS!H14</f>
        <v>332314</v>
      </c>
    </row>
    <row r="66" customFormat="false" ht="15" hidden="false" customHeight="true" outlineLevel="0" collapsed="false">
      <c r="A66" s="7" t="s">
        <v>534</v>
      </c>
      <c r="B66" s="21" t="n">
        <f aca="false">B63+B64-B65</f>
        <v>7490419.88</v>
      </c>
    </row>
    <row r="67" customFormat="false" ht="15" hidden="false" customHeight="true" outlineLevel="0" collapsed="false">
      <c r="A67" s="11" t="s">
        <v>535</v>
      </c>
      <c r="B67" s="87" t="n">
        <f aca="false">IF(B66=0,"",B52/B66)</f>
        <v>0.0329304904066339</v>
      </c>
    </row>
    <row r="69" customFormat="false" ht="15" hidden="false" customHeight="true" outlineLevel="0" collapsed="false">
      <c r="A69" s="7" t="s">
        <v>536</v>
      </c>
      <c r="B69" s="89" t="n">
        <f aca="false">(B59-B60)*10000</f>
        <v>52.7338516213918</v>
      </c>
    </row>
    <row r="70" customFormat="false" ht="15" hidden="false" customHeight="true" outlineLevel="0" collapsed="false">
      <c r="A70" s="7" t="s">
        <v>537</v>
      </c>
      <c r="B70" s="89" t="n">
        <f aca="false">(B67-B60)*10000</f>
        <v>-28.9514647926307</v>
      </c>
    </row>
    <row r="72" customFormat="false" ht="15" hidden="false" customHeight="true" outlineLevel="0" collapsed="false">
      <c r="A72" s="5" t="s">
        <v>538</v>
      </c>
      <c r="B72" s="6"/>
      <c r="C72" s="6"/>
      <c r="D72" s="6"/>
      <c r="E72" s="6"/>
      <c r="F72" s="6"/>
      <c r="G72" s="6"/>
      <c r="H72" s="6"/>
    </row>
    <row r="73" customFormat="false" ht="15" hidden="false" customHeight="true" outlineLevel="0" collapsed="false">
      <c r="A73" s="3" t="s">
        <v>539</v>
      </c>
    </row>
    <row r="75" customFormat="false" ht="15" hidden="false" customHeight="true" outlineLevel="0" collapsed="false">
      <c r="A75" s="68" t="s">
        <v>540</v>
      </c>
      <c r="B75" s="64" t="n">
        <v>0.05</v>
      </c>
    </row>
    <row r="76" customFormat="false" ht="15" hidden="false" customHeight="true" outlineLevel="0" collapsed="false">
      <c r="A76" s="7" t="s">
        <v>541</v>
      </c>
      <c r="B76" s="10" t="n">
        <f aca="false">B52</f>
        <v>246663.2</v>
      </c>
    </row>
    <row r="77" customFormat="false" ht="15" hidden="false" customHeight="true" outlineLevel="0" collapsed="false">
      <c r="A77" s="11" t="s">
        <v>542</v>
      </c>
      <c r="B77" s="21" t="n">
        <f aca="false">IF(B75=0,"",B76/B75)</f>
        <v>4933264</v>
      </c>
    </row>
    <row r="78" customFormat="false" ht="15" hidden="false" customHeight="true" outlineLevel="0" collapsed="false">
      <c r="A78" s="3" t="s">
        <v>543</v>
      </c>
      <c r="B78" s="49" t="n">
        <f aca="false">B55</f>
        <v>6492428</v>
      </c>
    </row>
    <row r="79" customFormat="false" ht="15" hidden="false" customHeight="true" outlineLevel="0" collapsed="false">
      <c r="A79" s="3" t="s">
        <v>544</v>
      </c>
      <c r="B79" s="58" t="n">
        <f aca="false">IF(B78=0,"",B77/B78-1)</f>
        <v>-0.24015114222291</v>
      </c>
    </row>
    <row r="81" customFormat="false" ht="15" hidden="false" customHeight="true" outlineLevel="0" collapsed="false">
      <c r="A81" s="7" t="s">
        <v>525</v>
      </c>
      <c r="B81" s="10" t="n">
        <f aca="false">B56</f>
        <v>392675</v>
      </c>
    </row>
    <row r="82" customFormat="false" ht="15" hidden="false" customHeight="true" outlineLevel="0" collapsed="false">
      <c r="A82" s="7" t="s">
        <v>545</v>
      </c>
      <c r="B82" s="10" t="n">
        <f aca="false">B65</f>
        <v>332314</v>
      </c>
    </row>
    <row r="83" customFormat="false" ht="15" hidden="false" customHeight="true" outlineLevel="0" collapsed="false">
      <c r="A83" s="11" t="s">
        <v>546</v>
      </c>
      <c r="B83" s="21" t="n">
        <f aca="false">B77+B81+B82</f>
        <v>5658253</v>
      </c>
    </row>
    <row r="84" customFormat="false" ht="15" hidden="false" customHeight="true" outlineLevel="0" collapsed="false">
      <c r="A84" s="7" t="s">
        <v>547</v>
      </c>
      <c r="B84" s="10" t="n">
        <f aca="false">BS!H26</f>
        <v>3557406</v>
      </c>
    </row>
    <row r="85" customFormat="false" ht="15" hidden="false" customHeight="true" outlineLevel="0" collapsed="false">
      <c r="A85" s="11" t="s">
        <v>548</v>
      </c>
      <c r="B85" s="21" t="n">
        <f aca="false">B83-ABS(B84)</f>
        <v>2100847</v>
      </c>
    </row>
    <row r="86" customFormat="false" ht="15" hidden="false" customHeight="true" outlineLevel="0" collapsed="false">
      <c r="A86" s="7" t="s">
        <v>530</v>
      </c>
      <c r="B86" s="10" t="n">
        <f aca="false">B62</f>
        <v>182133</v>
      </c>
    </row>
    <row r="87" customFormat="false" ht="15" hidden="false" customHeight="true" outlineLevel="0" collapsed="false">
      <c r="A87" s="11" t="s">
        <v>13</v>
      </c>
      <c r="B87" s="56" t="n">
        <f aca="false">IF(B86=0,"",B85/B86)</f>
        <v>11.5346861908605</v>
      </c>
    </row>
    <row r="89" customFormat="false" ht="15" hidden="false" customHeight="true" outlineLevel="0" collapsed="false">
      <c r="A89" s="7" t="s">
        <v>12</v>
      </c>
      <c r="B89" s="8" t="n">
        <f aca="false">BS!H37</f>
        <v>20.0952655477042</v>
      </c>
    </row>
    <row r="90" customFormat="false" ht="15" hidden="false" customHeight="true" outlineLevel="0" collapsed="false">
      <c r="A90" s="7" t="s">
        <v>11</v>
      </c>
      <c r="B90" s="8" t="n">
        <f aca="false">B61</f>
        <v>24.36</v>
      </c>
    </row>
    <row r="91" customFormat="false" ht="15" hidden="false" customHeight="true" outlineLevel="0" collapsed="false">
      <c r="A91" s="7" t="s">
        <v>549</v>
      </c>
      <c r="B91" s="13" t="n">
        <f aca="false">IF(B89=0,"",B87/B89-1)</f>
        <v>-0.425999812568869</v>
      </c>
    </row>
    <row r="92" customFormat="false" ht="15" hidden="false" customHeight="true" outlineLevel="0" collapsed="false">
      <c r="A92" s="7" t="s">
        <v>550</v>
      </c>
      <c r="B92" s="13" t="n">
        <f aca="false">IF(B90=0,"",B87/B90-1)</f>
        <v>-0.526490714660898</v>
      </c>
    </row>
    <row r="94" customFormat="false" ht="15" hidden="false" customHeight="true" outlineLevel="0" collapsed="false">
      <c r="A94" s="5" t="s">
        <v>551</v>
      </c>
      <c r="B94" s="6"/>
      <c r="C94" s="6"/>
      <c r="D94" s="6"/>
      <c r="E94" s="6"/>
      <c r="F94" s="6"/>
      <c r="G94" s="6"/>
      <c r="H94" s="6"/>
    </row>
    <row r="95" customFormat="false" ht="15" hidden="false" customHeight="true" outlineLevel="0" collapsed="false">
      <c r="A95" s="3" t="s">
        <v>552</v>
      </c>
    </row>
    <row r="96" customFormat="false" ht="15" hidden="false" customHeight="true" outlineLevel="0" collapsed="false">
      <c r="A96" s="3" t="s">
        <v>553</v>
      </c>
    </row>
    <row r="98" customFormat="false" ht="15" hidden="false" customHeight="true" outlineLevel="0" collapsed="false">
      <c r="B98" s="4" t="s">
        <v>169</v>
      </c>
      <c r="C98" s="4" t="s">
        <v>170</v>
      </c>
      <c r="D98" s="4" t="s">
        <v>171</v>
      </c>
      <c r="E98" s="4" t="s">
        <v>172</v>
      </c>
      <c r="F98" s="4" t="s">
        <v>173</v>
      </c>
    </row>
    <row r="100" customFormat="false" ht="15" hidden="false" customHeight="true" outlineLevel="0" collapsed="false">
      <c r="A100" s="7" t="s">
        <v>11</v>
      </c>
      <c r="B100" s="8" t="n">
        <f aca="false">Assumptions!B59</f>
        <v>24.5</v>
      </c>
      <c r="C100" s="8" t="n">
        <f aca="false">Assumptions!C59</f>
        <v>24.75</v>
      </c>
      <c r="D100" s="8" t="n">
        <f aca="false">Assumptions!D59</f>
        <v>25</v>
      </c>
      <c r="E100" s="8" t="n">
        <f aca="false">Assumptions!E59</f>
        <v>25.25</v>
      </c>
      <c r="F100" s="8" t="n">
        <f aca="false">Assumptions!F59</f>
        <v>25.5</v>
      </c>
    </row>
    <row r="101" customFormat="false" ht="15" hidden="false" customHeight="true" outlineLevel="0" collapsed="false">
      <c r="A101" s="11" t="s">
        <v>554</v>
      </c>
      <c r="B101" s="90" t="n">
        <f aca="false">Assumptions!B67</f>
        <v>24.6659245764172</v>
      </c>
      <c r="C101" s="90" t="n">
        <f aca="false">Assumptions!C67</f>
        <v>24.7963027566487</v>
      </c>
      <c r="D101" s="90" t="n">
        <f aca="false">Assumptions!D67</f>
        <v>24.9703072191956</v>
      </c>
      <c r="E101" s="90" t="n">
        <f aca="false">Assumptions!E67</f>
        <v>25.0517211022643</v>
      </c>
      <c r="F101" s="90" t="n">
        <f aca="false">Assumptions!F67</f>
        <v>25.1946160364128</v>
      </c>
    </row>
    <row r="102" customFormat="false" ht="15" hidden="false" customHeight="true" outlineLevel="0" collapsed="false">
      <c r="A102" s="7" t="s">
        <v>555</v>
      </c>
      <c r="B102" s="8" t="n">
        <f aca="false">Assumptions!B25*(1-Assumptions!B26)</f>
        <v>0.4032</v>
      </c>
      <c r="C102" s="8" t="n">
        <f aca="false">Assumptions!C25*(1-Assumptions!C26)</f>
        <v>0.4032</v>
      </c>
      <c r="D102" s="8" t="n">
        <f aca="false">Assumptions!D25*(1-Assumptions!D26)</f>
        <v>0.4032</v>
      </c>
      <c r="E102" s="8" t="n">
        <f aca="false">Assumptions!E25*(1-Assumptions!E26)</f>
        <v>0.4032</v>
      </c>
      <c r="F102" s="8" t="n">
        <f aca="false">Assumptions!F25*(1-Assumptions!F26)</f>
        <v>0.4032</v>
      </c>
    </row>
    <row r="103" customFormat="false" ht="15" hidden="false" customHeight="true" outlineLevel="0" collapsed="false">
      <c r="A103" s="11" t="s">
        <v>233</v>
      </c>
      <c r="B103" s="91" t="n">
        <f aca="false">Assumptions!B74</f>
        <v>0.0232295745476414</v>
      </c>
      <c r="C103" s="91" t="n">
        <f aca="false">Assumptions!C74</f>
        <v>0.0181617275413608</v>
      </c>
      <c r="D103" s="91" t="n">
        <f aca="false">Assumptions!D74</f>
        <v>0.0149402887678239</v>
      </c>
      <c r="E103" s="91" t="n">
        <f aca="false">Assumptions!E74</f>
        <v>0.00811568721838653</v>
      </c>
      <c r="F103" s="91" t="n">
        <f aca="false">Assumptions!F74</f>
        <v>0.00383592299657997</v>
      </c>
    </row>
    <row r="104" customFormat="false" ht="15" hidden="false" customHeight="true" outlineLevel="0" collapsed="false">
      <c r="A104" s="3" t="s">
        <v>234</v>
      </c>
      <c r="B104" s="58" t="n">
        <f aca="false">Assumptions!B75</f>
        <v>0.00677243169049856</v>
      </c>
      <c r="C104" s="58" t="n">
        <f aca="false">Assumptions!C75</f>
        <v>0.00187081845045166</v>
      </c>
      <c r="D104" s="58" t="n">
        <f aca="false">Assumptions!D75</f>
        <v>-0.00118771123217613</v>
      </c>
      <c r="E104" s="58" t="n">
        <f aca="false">Assumptions!E75</f>
        <v>-0.00785262961329664</v>
      </c>
      <c r="F104" s="58" t="n">
        <f aca="false">Assumptions!F75</f>
        <v>-0.0119758417093024</v>
      </c>
    </row>
    <row r="105" customFormat="false" ht="15" hidden="false" customHeight="true" outlineLevel="0" collapsed="false">
      <c r="A105" s="3" t="s">
        <v>235</v>
      </c>
      <c r="B105" s="58" t="n">
        <f aca="false">Assumptions!B76</f>
        <v>0.0164571428571429</v>
      </c>
      <c r="C105" s="58" t="n">
        <f aca="false">Assumptions!C76</f>
        <v>0.0162909090909091</v>
      </c>
      <c r="D105" s="58" t="n">
        <f aca="false">Assumptions!D76</f>
        <v>0.016128</v>
      </c>
      <c r="E105" s="58" t="n">
        <f aca="false">Assumptions!E76</f>
        <v>0.0159683168316832</v>
      </c>
      <c r="F105" s="58" t="n">
        <f aca="false">Assumptions!F76</f>
        <v>0.0158117647058824</v>
      </c>
    </row>
    <row r="106" customFormat="false" ht="15" hidden="false" customHeight="true" outlineLevel="0" collapsed="false">
      <c r="A106" s="11"/>
    </row>
    <row r="107" customFormat="false" ht="15" hidden="false" customHeight="true" outlineLevel="0" collapsed="false">
      <c r="A107" s="11" t="s">
        <v>556</v>
      </c>
      <c r="B107" s="10"/>
      <c r="C107" s="10"/>
      <c r="D107" s="10"/>
      <c r="E107" s="10"/>
      <c r="F107" s="10"/>
    </row>
    <row r="108" customFormat="false" ht="15" hidden="false" customHeight="true" outlineLevel="0" collapsed="false">
      <c r="A108" s="7" t="s">
        <v>238</v>
      </c>
      <c r="B108" s="8" t="n">
        <f aca="false">Assumptions!B59</f>
        <v>24.5</v>
      </c>
      <c r="C108" s="9"/>
      <c r="D108" s="9"/>
      <c r="E108" s="9"/>
      <c r="F108" s="9"/>
    </row>
    <row r="109" customFormat="false" ht="15" hidden="false" customHeight="true" outlineLevel="0" collapsed="false">
      <c r="A109" s="7" t="s">
        <v>239</v>
      </c>
      <c r="B109" s="90" t="n">
        <f aca="false">Assumptions!F67</f>
        <v>25.1946160364128</v>
      </c>
      <c r="C109" s="90"/>
      <c r="D109" s="90"/>
      <c r="E109" s="90"/>
      <c r="F109" s="90"/>
    </row>
    <row r="110" customFormat="false" ht="15" hidden="false" customHeight="true" outlineLevel="0" collapsed="false">
      <c r="A110" s="7" t="s">
        <v>557</v>
      </c>
      <c r="B110" s="20" t="n">
        <f aca="false">SUMPRODUCT(Assumptions!B25:F25*(1-Assumptions!B26:F26))</f>
        <v>2.016</v>
      </c>
      <c r="C110" s="10"/>
      <c r="D110" s="10"/>
      <c r="E110" s="10"/>
      <c r="F110" s="10"/>
    </row>
    <row r="111" customFormat="false" ht="15" hidden="false" customHeight="true" outlineLevel="0" collapsed="false">
      <c r="A111" s="7" t="s">
        <v>558</v>
      </c>
      <c r="B111" s="20" t="n">
        <f aca="false">B109-B108</f>
        <v>0.694616036412789</v>
      </c>
      <c r="C111" s="8"/>
      <c r="D111" s="8"/>
      <c r="E111" s="8"/>
      <c r="F111" s="8"/>
    </row>
    <row r="112" customFormat="false" ht="15" hidden="false" customHeight="true" outlineLevel="0" collapsed="false">
      <c r="A112" s="7" t="s">
        <v>241</v>
      </c>
      <c r="B112" s="20" t="n">
        <f aca="false">B109-B108+B110</f>
        <v>2.71061603641279</v>
      </c>
      <c r="C112" s="13"/>
      <c r="D112" s="13"/>
      <c r="E112" s="13"/>
      <c r="F112" s="13"/>
    </row>
    <row r="113" customFormat="false" ht="15" hidden="false" customHeight="true" outlineLevel="0" collapsed="false">
      <c r="A113" s="11" t="s">
        <v>242</v>
      </c>
      <c r="B113" s="29" t="n">
        <f aca="false">IF(B108=0,"",(B109+B110)/B108-1)</f>
        <v>0.110637389241338</v>
      </c>
    </row>
    <row r="114" customFormat="false" ht="15" hidden="false" customHeight="true" outlineLevel="0" collapsed="false">
      <c r="A114" s="11" t="s">
        <v>243</v>
      </c>
      <c r="B114" s="29" t="n">
        <f aca="false">IF(B108=0,"",((B109+B110)/B108)^(1/5)-1)</f>
        <v>0.0212085869262406</v>
      </c>
    </row>
    <row r="115" customFormat="false" ht="15" hidden="false" customHeight="true" outlineLevel="0" collapsed="false">
      <c r="A115" s="7"/>
      <c r="B115" s="8"/>
      <c r="C115" s="20"/>
      <c r="D115" s="20"/>
      <c r="E115" s="20"/>
      <c r="F115" s="20"/>
    </row>
    <row r="116" customFormat="false" ht="15" hidden="false" customHeight="true" outlineLevel="0" collapsed="false">
      <c r="A116" s="7"/>
      <c r="B116" s="20"/>
      <c r="C116" s="20"/>
      <c r="D116" s="20"/>
      <c r="E116" s="20"/>
      <c r="F116" s="20"/>
    </row>
    <row r="117" customFormat="false" ht="15" hidden="false" customHeight="true" outlineLevel="0" collapsed="false">
      <c r="A117" s="7"/>
      <c r="B117" s="20"/>
      <c r="C117" s="20"/>
      <c r="D117" s="20"/>
      <c r="E117" s="20"/>
      <c r="F117" s="20"/>
    </row>
    <row r="118" customFormat="false" ht="15" hidden="false" customHeight="true" outlineLevel="0" collapsed="false">
      <c r="A118" s="11"/>
      <c r="B118" s="57"/>
      <c r="C118" s="57"/>
      <c r="D118" s="57"/>
      <c r="E118" s="57"/>
      <c r="F118" s="57"/>
    </row>
    <row r="119" customFormat="false" ht="15" hidden="false" customHeight="true" outlineLevel="0" collapsed="false">
      <c r="A119" s="7"/>
      <c r="B119" s="13"/>
      <c r="C119" s="13"/>
      <c r="D119" s="13"/>
      <c r="E119" s="13"/>
      <c r="F119" s="13"/>
    </row>
    <row r="120" customFormat="false" ht="15" hidden="false" customHeight="true" outlineLevel="0" collapsed="false">
      <c r="A120" s="7"/>
      <c r="B120" s="13"/>
      <c r="C120" s="13"/>
      <c r="D120" s="13"/>
      <c r="E120" s="13"/>
      <c r="F120" s="13"/>
    </row>
    <row r="122" customFormat="false" ht="15" hidden="false" customHeight="true" outlineLevel="0" collapsed="false">
      <c r="A122" s="5"/>
      <c r="B122" s="6"/>
      <c r="C122" s="6"/>
      <c r="D122" s="6"/>
      <c r="E122" s="6"/>
      <c r="F122" s="6"/>
      <c r="G122" s="6"/>
      <c r="H122" s="6"/>
    </row>
    <row r="123" customFormat="false" ht="15" hidden="false" customHeight="true" outlineLevel="0" collapsed="false">
      <c r="A123" s="3"/>
    </row>
    <row r="125" customFormat="false" ht="15" hidden="false" customHeight="true" outlineLevel="0" collapsed="false">
      <c r="A125" s="7"/>
      <c r="B125" s="20"/>
    </row>
    <row r="126" customFormat="false" ht="15" hidden="false" customHeight="true" outlineLevel="0" collapsed="false">
      <c r="A126" s="7"/>
      <c r="B126" s="92"/>
    </row>
    <row r="127" customFormat="false" ht="15" hidden="false" customHeight="true" outlineLevel="0" collapsed="false">
      <c r="A127" s="7"/>
      <c r="B127" s="20"/>
    </row>
    <row r="128" customFormat="false" ht="15" hidden="false" customHeight="true" outlineLevel="0" collapsed="false">
      <c r="A128" s="7"/>
      <c r="B128" s="20"/>
    </row>
    <row r="129" customFormat="false" ht="15" hidden="false" customHeight="true" outlineLevel="0" collapsed="false">
      <c r="A129" s="3"/>
    </row>
    <row r="130" customFormat="false" ht="15" hidden="false" customHeight="true" outlineLevel="0" collapsed="false">
      <c r="A130" s="11"/>
    </row>
    <row r="131" customFormat="false" ht="15" hidden="false" customHeight="true" outlineLevel="0" collapsed="false">
      <c r="A131" s="7"/>
      <c r="B131" s="20"/>
    </row>
    <row r="132" customFormat="false" ht="15" hidden="false" customHeight="true" outlineLevel="0" collapsed="false">
      <c r="A132" s="7"/>
      <c r="B132" s="57"/>
    </row>
    <row r="133" customFormat="false" ht="15" hidden="false" customHeight="true" outlineLevel="0" collapsed="false">
      <c r="A133" s="3"/>
    </row>
    <row r="135" customFormat="false" ht="15" hidden="false" customHeight="true" outlineLevel="0" collapsed="false">
      <c r="A135" s="11"/>
    </row>
    <row r="136" customFormat="false" ht="15" hidden="false" customHeight="true" outlineLevel="0" collapsed="false">
      <c r="A136" s="7"/>
      <c r="B136" s="20"/>
    </row>
    <row r="137" customFormat="false" ht="15" hidden="false" customHeight="true" outlineLevel="0" collapsed="false">
      <c r="A137" s="7"/>
      <c r="B137" s="57"/>
    </row>
    <row r="138" customFormat="false" ht="15" hidden="false" customHeight="true" outlineLevel="0" collapsed="false">
      <c r="A138" s="3"/>
    </row>
    <row r="140" customFormat="false" ht="15" hidden="false" customHeight="true" outlineLevel="0" collapsed="false">
      <c r="A140" s="11"/>
    </row>
    <row r="141" customFormat="false" ht="15" hidden="false" customHeight="true" outlineLevel="0" collapsed="false">
      <c r="A141" s="7"/>
      <c r="B141" s="20"/>
    </row>
    <row r="142" customFormat="false" ht="15" hidden="false" customHeight="true" outlineLevel="0" collapsed="false">
      <c r="A142" s="7"/>
      <c r="B142" s="57"/>
    </row>
    <row r="143" customFormat="false" ht="15" hidden="false" customHeight="true" outlineLevel="0" collapsed="false">
      <c r="A143" s="3"/>
    </row>
    <row r="145" customFormat="false" ht="15" hidden="false" customHeight="true" outlineLevel="0" collapsed="false">
      <c r="A145" s="11"/>
    </row>
    <row r="146" customFormat="false" ht="15" hidden="false" customHeight="true" outlineLevel="0" collapsed="false">
      <c r="A146" s="7"/>
      <c r="B146" s="93"/>
    </row>
    <row r="147" customFormat="false" ht="15" hidden="false" customHeight="true" outlineLevel="0" collapsed="false">
      <c r="A147" s="7"/>
      <c r="B147" s="57"/>
    </row>
    <row r="148" customFormat="false" ht="15" hidden="false" customHeight="true" outlineLevel="0" collapsed="false">
      <c r="A148" s="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559</v>
      </c>
    </row>
    <row r="2" customFormat="false" ht="15" hidden="false" customHeight="true" outlineLevel="0" collapsed="false">
      <c r="A2" s="3" t="s">
        <v>560</v>
      </c>
    </row>
    <row r="3" customFormat="false" ht="15" hidden="false" customHeight="true" outlineLevel="0" collapsed="false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5" customFormat="false" ht="15" hidden="false" customHeight="true" outlineLevel="0" collapsed="false">
      <c r="A5" s="5" t="s">
        <v>561</v>
      </c>
      <c r="B5" s="6"/>
      <c r="C5" s="6"/>
      <c r="D5" s="6"/>
      <c r="E5" s="6"/>
      <c r="F5" s="6"/>
      <c r="G5" s="6"/>
      <c r="H5" s="6"/>
    </row>
    <row r="6" customFormat="false" ht="15" hidden="false" customHeight="true" outlineLevel="0" collapsed="false">
      <c r="A6" s="7" t="s">
        <v>562</v>
      </c>
      <c r="B6" s="53" t="n">
        <v>8742</v>
      </c>
      <c r="C6" s="53" t="n">
        <v>12166</v>
      </c>
      <c r="D6" s="53" t="n">
        <v>15067</v>
      </c>
      <c r="E6" s="53" t="n">
        <v>20457</v>
      </c>
      <c r="F6" s="53" t="n">
        <v>22022</v>
      </c>
      <c r="G6" s="53" t="n">
        <v>22148</v>
      </c>
      <c r="H6" s="53" t="n">
        <v>23410</v>
      </c>
    </row>
    <row r="7" customFormat="false" ht="15" hidden="false" customHeight="true" outlineLevel="0" collapsed="false">
      <c r="A7" s="7" t="s">
        <v>563</v>
      </c>
      <c r="C7" s="53" t="n">
        <v>82</v>
      </c>
      <c r="D7" s="53" t="n">
        <v>102</v>
      </c>
      <c r="E7" s="53" t="n">
        <v>148</v>
      </c>
      <c r="F7" s="53" t="n">
        <v>157</v>
      </c>
      <c r="G7" s="53" t="n">
        <v>158</v>
      </c>
      <c r="H7" s="53" t="n">
        <v>163</v>
      </c>
    </row>
    <row r="8" customFormat="false" ht="15" hidden="false" customHeight="true" outlineLevel="0" collapsed="false">
      <c r="A8" s="7" t="s">
        <v>564</v>
      </c>
      <c r="G8" s="53" t="n">
        <v>17450</v>
      </c>
      <c r="H8" s="53" t="n">
        <v>18709</v>
      </c>
    </row>
    <row r="9" customFormat="false" ht="15" hidden="false" customHeight="true" outlineLevel="0" collapsed="false">
      <c r="A9" s="7" t="s">
        <v>565</v>
      </c>
      <c r="G9" s="53" t="n">
        <v>4698</v>
      </c>
      <c r="H9" s="53" t="n">
        <v>4701</v>
      </c>
    </row>
    <row r="11" customFormat="false" ht="15" hidden="false" customHeight="true" outlineLevel="0" collapsed="false">
      <c r="A11" s="5" t="s">
        <v>566</v>
      </c>
      <c r="B11" s="6"/>
      <c r="C11" s="6"/>
      <c r="D11" s="6"/>
      <c r="E11" s="6"/>
      <c r="F11" s="6"/>
      <c r="G11" s="6"/>
      <c r="H11" s="6"/>
    </row>
    <row r="12" customFormat="false" ht="15" hidden="false" customHeight="true" outlineLevel="0" collapsed="false">
      <c r="A12" s="7" t="s">
        <v>567</v>
      </c>
      <c r="B12" s="66" t="n">
        <v>0.971</v>
      </c>
      <c r="C12" s="66" t="n">
        <v>0.92</v>
      </c>
      <c r="D12" s="66" t="n">
        <v>0.892</v>
      </c>
      <c r="E12" s="66" t="n">
        <v>0.935</v>
      </c>
      <c r="F12" s="66" t="n">
        <v>0.9451</v>
      </c>
      <c r="G12" s="66" t="n">
        <v>0.9476</v>
      </c>
      <c r="H12" s="66" t="n">
        <v>0.9258</v>
      </c>
    </row>
    <row r="13" customFormat="false" ht="15" hidden="false" customHeight="true" outlineLevel="0" collapsed="false">
      <c r="A13" s="7" t="s">
        <v>568</v>
      </c>
      <c r="B13" s="66" t="n">
        <v>0.971</v>
      </c>
      <c r="C13" s="66" t="n">
        <v>0.945</v>
      </c>
      <c r="D13" s="66" t="n">
        <v>0.932</v>
      </c>
      <c r="F13" s="66" t="n">
        <v>0.9839</v>
      </c>
      <c r="G13" s="66" t="n">
        <v>0.9747</v>
      </c>
      <c r="H13" s="66" t="n">
        <v>0.9698</v>
      </c>
    </row>
    <row r="15" customFormat="false" ht="15" hidden="false" customHeight="true" outlineLevel="0" collapsed="false">
      <c r="A15" s="5" t="s">
        <v>569</v>
      </c>
      <c r="B15" s="6"/>
      <c r="C15" s="6"/>
      <c r="D15" s="6"/>
      <c r="E15" s="6"/>
      <c r="F15" s="6"/>
      <c r="G15" s="6"/>
      <c r="H15" s="6"/>
    </row>
    <row r="16" customFormat="false" ht="15" hidden="false" customHeight="true" outlineLevel="0" collapsed="false">
      <c r="A16" s="7" t="s">
        <v>570</v>
      </c>
      <c r="B16" s="94" t="n">
        <v>1040</v>
      </c>
      <c r="C16" s="94" t="n">
        <v>1097</v>
      </c>
      <c r="D16" s="94" t="n">
        <v>1206</v>
      </c>
      <c r="F16" s="94" t="n">
        <v>1463</v>
      </c>
      <c r="G16" s="94" t="n">
        <v>1541</v>
      </c>
      <c r="H16" s="94" t="n">
        <v>1605</v>
      </c>
    </row>
    <row r="17" customFormat="false" ht="15" hidden="false" customHeight="true" outlineLevel="0" collapsed="false">
      <c r="A17" s="7" t="s">
        <v>571</v>
      </c>
      <c r="D17" s="94" t="n">
        <v>1416</v>
      </c>
      <c r="F17" s="94" t="n">
        <v>1609</v>
      </c>
      <c r="G17" s="94" t="n">
        <v>1719</v>
      </c>
    </row>
    <row r="18" customFormat="false" ht="15" hidden="false" customHeight="true" outlineLevel="0" collapsed="false">
      <c r="A18" s="7" t="s">
        <v>572</v>
      </c>
      <c r="D18" s="94" t="n">
        <v>751</v>
      </c>
      <c r="E18" s="94" t="n">
        <v>791</v>
      </c>
      <c r="F18" s="94" t="n">
        <v>817</v>
      </c>
      <c r="G18" s="94" t="n">
        <v>934</v>
      </c>
    </row>
    <row r="20" customFormat="false" ht="15" hidden="false" customHeight="true" outlineLevel="0" collapsed="false">
      <c r="A20" s="5" t="s">
        <v>573</v>
      </c>
      <c r="B20" s="6"/>
      <c r="C20" s="6"/>
      <c r="D20" s="6"/>
      <c r="E20" s="6"/>
      <c r="F20" s="6"/>
      <c r="G20" s="6"/>
      <c r="H20" s="6"/>
    </row>
    <row r="21" customFormat="false" ht="15" hidden="false" customHeight="true" outlineLevel="0" collapsed="false">
      <c r="A21" s="11" t="s">
        <v>574</v>
      </c>
      <c r="C21" s="53" t="n">
        <v>54197</v>
      </c>
      <c r="D21" s="53" t="n">
        <v>70436</v>
      </c>
      <c r="F21" s="53" t="n">
        <v>142543</v>
      </c>
      <c r="G21" s="53" t="n">
        <v>221234</v>
      </c>
    </row>
    <row r="22" customFormat="false" ht="15" hidden="false" customHeight="true" outlineLevel="0" collapsed="false">
      <c r="A22" s="7" t="s">
        <v>575</v>
      </c>
      <c r="C22" s="66" t="n">
        <v>0.012</v>
      </c>
      <c r="D22" s="66" t="n">
        <v>-0.005</v>
      </c>
      <c r="F22" s="66" t="n">
        <v>0.1098</v>
      </c>
      <c r="G22" s="66" t="n">
        <v>0.0863</v>
      </c>
    </row>
    <row r="23" customFormat="false" ht="15" hidden="false" customHeight="true" outlineLevel="0" collapsed="false">
      <c r="A23" s="7" t="s">
        <v>576</v>
      </c>
      <c r="C23" s="53" t="n">
        <v>79849</v>
      </c>
      <c r="D23" s="53" t="n">
        <v>108610</v>
      </c>
      <c r="F23" s="53" t="n">
        <v>219444</v>
      </c>
      <c r="G23" s="53" t="n">
        <v>341781</v>
      </c>
    </row>
    <row r="24" customFormat="false" ht="15" hidden="false" customHeight="true" outlineLevel="0" collapsed="false">
      <c r="A24" s="7" t="s">
        <v>577</v>
      </c>
      <c r="C24" s="66" t="n">
        <v>0.6787</v>
      </c>
      <c r="D24" s="66" t="n">
        <v>0.6485</v>
      </c>
      <c r="F24" s="66" t="n">
        <v>0.6496</v>
      </c>
      <c r="G24" s="66" t="n">
        <v>0.6473</v>
      </c>
    </row>
    <row r="26" customFormat="false" ht="15" hidden="false" customHeight="true" outlineLevel="0" collapsed="false">
      <c r="A26" s="7" t="s">
        <v>578</v>
      </c>
      <c r="D26" s="53" t="n">
        <v>58925</v>
      </c>
      <c r="F26" s="53" t="n">
        <v>114748</v>
      </c>
      <c r="G26" s="53" t="n">
        <v>190159</v>
      </c>
    </row>
    <row r="27" customFormat="false" ht="15" hidden="false" customHeight="true" outlineLevel="0" collapsed="false">
      <c r="A27" s="7" t="s">
        <v>579</v>
      </c>
      <c r="F27" s="66" t="n">
        <v>0.1137</v>
      </c>
      <c r="G27" s="66" t="n">
        <v>0.0916</v>
      </c>
    </row>
    <row r="28" customFormat="false" ht="15" hidden="false" customHeight="true" outlineLevel="0" collapsed="false">
      <c r="A28" s="7" t="s">
        <v>580</v>
      </c>
      <c r="D28" s="53" t="n">
        <v>11511</v>
      </c>
      <c r="F28" s="53" t="n">
        <v>27795</v>
      </c>
      <c r="G28" s="53" t="n">
        <v>31075</v>
      </c>
    </row>
    <row r="29" customFormat="false" ht="15" hidden="false" customHeight="true" outlineLevel="0" collapsed="false">
      <c r="A29" s="7" t="s">
        <v>581</v>
      </c>
      <c r="F29" s="66" t="n">
        <v>0.0943</v>
      </c>
      <c r="G29" s="66" t="n">
        <v>0.0555</v>
      </c>
    </row>
    <row r="31" customFormat="false" ht="15" hidden="false" customHeight="true" outlineLevel="0" collapsed="false">
      <c r="A31" s="5" t="s">
        <v>582</v>
      </c>
      <c r="B31" s="6"/>
      <c r="C31" s="6"/>
      <c r="D31" s="6"/>
      <c r="E31" s="6"/>
      <c r="F31" s="6"/>
      <c r="G31" s="6"/>
      <c r="H31" s="6"/>
    </row>
    <row r="32" customFormat="false" ht="15" hidden="false" customHeight="true" outlineLevel="0" collapsed="false">
      <c r="A32" s="7" t="s">
        <v>583</v>
      </c>
      <c r="C32" s="66" t="n">
        <v>0.0128</v>
      </c>
      <c r="F32" s="66" t="n">
        <v>0.0373</v>
      </c>
      <c r="G32" s="66" t="n">
        <v>0.0492</v>
      </c>
    </row>
    <row r="33" customFormat="false" ht="15" hidden="false" customHeight="true" outlineLevel="0" collapsed="false">
      <c r="A33" s="7" t="s">
        <v>584</v>
      </c>
      <c r="F33" s="66" t="n">
        <v>0.1167</v>
      </c>
      <c r="G33" s="66" t="n">
        <v>0.0961</v>
      </c>
    </row>
    <row r="35" customFormat="false" ht="15" hidden="false" customHeight="true" outlineLevel="0" collapsed="false">
      <c r="A35" s="5" t="s">
        <v>585</v>
      </c>
      <c r="B35" s="6"/>
      <c r="C35" s="6"/>
      <c r="D35" s="6"/>
      <c r="E35" s="6"/>
      <c r="F35" s="6"/>
      <c r="G35" s="6"/>
      <c r="H35" s="6"/>
    </row>
    <row r="36" customFormat="false" ht="15" hidden="false" customHeight="true" outlineLevel="0" collapsed="false">
      <c r="A36" s="7" t="s">
        <v>586</v>
      </c>
      <c r="B36" s="10" t="n">
        <f aca="false">IS!B17</f>
        <v>61790</v>
      </c>
      <c r="C36" s="10" t="n">
        <f aca="false">IS!C17</f>
        <v>80752</v>
      </c>
      <c r="D36" s="10" t="n">
        <f aca="false">IS!D17</f>
        <v>97812</v>
      </c>
      <c r="E36" s="10" t="n">
        <f aca="false">IS!E17</f>
        <v>160041</v>
      </c>
      <c r="F36" s="10" t="n">
        <f aca="false">IS!F17</f>
        <v>204755</v>
      </c>
      <c r="G36" s="10" t="n">
        <f aca="false">IS!G17</f>
        <v>227787</v>
      </c>
      <c r="H36" s="10" t="n">
        <f aca="false">IS!H17</f>
        <v>176188</v>
      </c>
    </row>
    <row r="37" customFormat="false" ht="15" hidden="false" customHeight="true" outlineLevel="0" collapsed="false">
      <c r="A37" s="7" t="s">
        <v>587</v>
      </c>
      <c r="B37" s="10" t="n">
        <f aca="false">B6</f>
        <v>8742</v>
      </c>
      <c r="C37" s="10" t="n">
        <f aca="false">C6</f>
        <v>12166</v>
      </c>
      <c r="D37" s="10" t="n">
        <f aca="false">D6</f>
        <v>15067</v>
      </c>
      <c r="E37" s="10" t="n">
        <f aca="false">E6</f>
        <v>20457</v>
      </c>
      <c r="F37" s="10" t="n">
        <f aca="false">F6</f>
        <v>22022</v>
      </c>
      <c r="G37" s="10" t="n">
        <f aca="false">G6</f>
        <v>22148</v>
      </c>
      <c r="H37" s="10" t="n">
        <f aca="false">H6</f>
        <v>23410</v>
      </c>
    </row>
    <row r="38" customFormat="false" ht="15" hidden="false" customHeight="true" outlineLevel="0" collapsed="false">
      <c r="A38" s="11" t="s">
        <v>588</v>
      </c>
      <c r="B38" s="95" t="n">
        <f aca="false">IF(B37=0,"",B36*1000/B37)</f>
        <v>7068.17661862274</v>
      </c>
      <c r="C38" s="95" t="n">
        <f aca="false">IF(C37=0,"",C36*1000/C37)</f>
        <v>6637.51438434983</v>
      </c>
      <c r="D38" s="95" t="n">
        <f aca="false">IF(D37=0,"",D36*1000/D37)</f>
        <v>6491.80327868852</v>
      </c>
      <c r="E38" s="95" t="n">
        <f aca="false">IF(E37=0,"",E36*1000/E37)</f>
        <v>7823.28787212201</v>
      </c>
      <c r="F38" s="95" t="n">
        <f aca="false">IF(F37=0,"",F36*1000/F37)</f>
        <v>9297.74770683862</v>
      </c>
      <c r="G38" s="95" t="n">
        <f aca="false">IF(G37=0,"",G36*1000/G37)</f>
        <v>10284.7661188369</v>
      </c>
      <c r="H38" s="95" t="n">
        <f aca="false">IF(H37=0,"",H36*1000/H37)</f>
        <v>7526.18539085861</v>
      </c>
    </row>
    <row r="39" customFormat="false" ht="15" hidden="false" customHeight="true" outlineLevel="0" collapsed="false">
      <c r="A39" s="7" t="s">
        <v>589</v>
      </c>
      <c r="B39" s="95" t="n">
        <f aca="false">IF(B37=0,"",IS!B11*1000/B37)</f>
        <v>10348.7760237932</v>
      </c>
      <c r="C39" s="95" t="n">
        <f aca="false">IF(C37=0,"",IS!C11*1000/C37)</f>
        <v>10140.7200394542</v>
      </c>
      <c r="D39" s="95" t="n">
        <f aca="false">IF(D37=0,"",IS!D11*1000/D37)</f>
        <v>10286.2547288777</v>
      </c>
      <c r="E39" s="95" t="n">
        <f aca="false">IF(E37=0,"",IS!E11*1000/E37)</f>
        <v>12130.7132033045</v>
      </c>
      <c r="F39" s="95" t="n">
        <f aca="false">IF(F37=0,"",IS!F11*1000/F37)</f>
        <v>14426.6642448461</v>
      </c>
      <c r="G39" s="95" t="n">
        <f aca="false">IF(G37=0,"",IS!G11*1000/G37)</f>
        <v>15814.1141412317</v>
      </c>
      <c r="H39" s="95" t="n">
        <f aca="false">IF(H37=0,"",IS!H11*1000/H37)</f>
        <v>11799.6155489107</v>
      </c>
    </row>
    <row r="41" customFormat="false" ht="15" hidden="false" customHeight="true" outlineLevel="0" collapsed="false">
      <c r="A41" s="5" t="s">
        <v>590</v>
      </c>
      <c r="B41" s="6"/>
      <c r="C41" s="6"/>
      <c r="D41" s="6"/>
      <c r="E41" s="6"/>
      <c r="F41" s="6"/>
      <c r="G41" s="6"/>
      <c r="H41" s="6"/>
    </row>
    <row r="42" customFormat="false" ht="15" hidden="false" customHeight="true" outlineLevel="0" collapsed="false">
      <c r="A42" s="7" t="s">
        <v>591</v>
      </c>
      <c r="G42" s="66" t="n">
        <v>0.344</v>
      </c>
    </row>
    <row r="43" customFormat="false" ht="15" hidden="false" customHeight="true" outlineLevel="0" collapsed="false">
      <c r="A43" s="7" t="s">
        <v>592</v>
      </c>
      <c r="G43" s="66" t="n">
        <v>0.297</v>
      </c>
    </row>
    <row r="44" customFormat="false" ht="15" hidden="false" customHeight="true" outlineLevel="0" collapsed="false">
      <c r="A44" s="7" t="s">
        <v>593</v>
      </c>
      <c r="G44" s="66" t="n">
        <v>0.186</v>
      </c>
    </row>
    <row r="45" customFormat="false" ht="15" hidden="false" customHeight="true" outlineLevel="0" collapsed="false">
      <c r="A45" s="7" t="s">
        <v>594</v>
      </c>
      <c r="G45" s="66" t="n">
        <v>0.091</v>
      </c>
    </row>
    <row r="46" customFormat="false" ht="15" hidden="false" customHeight="true" outlineLevel="0" collapsed="false">
      <c r="A46" s="7" t="s">
        <v>595</v>
      </c>
      <c r="G46" s="66" t="n">
        <v>0.038</v>
      </c>
    </row>
    <row r="47" customFormat="false" ht="15" hidden="false" customHeight="true" outlineLevel="0" collapsed="false">
      <c r="A47" s="7" t="s">
        <v>596</v>
      </c>
      <c r="G47" s="66" t="n">
        <v>0.016</v>
      </c>
    </row>
    <row r="48" customFormat="false" ht="15" hidden="false" customHeight="true" outlineLevel="0" collapsed="false">
      <c r="A48" s="7" t="s">
        <v>597</v>
      </c>
      <c r="G48" s="66" t="n">
        <v>0.012</v>
      </c>
    </row>
    <row r="49" customFormat="false" ht="15" hidden="false" customHeight="true" outlineLevel="0" collapsed="false">
      <c r="A49" s="7" t="s">
        <v>598</v>
      </c>
      <c r="G49" s="66" t="n">
        <v>0.016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15" hidden="false" customHeight="true" outlineLevel="0" collapsed="false">
      <c r="A1" s="2" t="s">
        <v>599</v>
      </c>
    </row>
    <row r="2" customFormat="false" ht="15" hidden="false" customHeight="true" outlineLevel="0" collapsed="false">
      <c r="A2" s="3" t="s">
        <v>600</v>
      </c>
    </row>
    <row r="4" customFormat="false" ht="15" hidden="false" customHeight="true" outlineLevel="0" collapsed="false">
      <c r="A4" s="5" t="s">
        <v>601</v>
      </c>
      <c r="B4" s="6"/>
      <c r="C4" s="6"/>
      <c r="D4" s="6"/>
      <c r="E4" s="6"/>
    </row>
    <row r="5" customFormat="false" ht="23.25" hidden="false" customHeight="true" outlineLevel="0" collapsed="false">
      <c r="A5" s="60"/>
      <c r="B5" s="60" t="s">
        <v>602</v>
      </c>
      <c r="C5" s="60" t="s">
        <v>603</v>
      </c>
      <c r="D5" s="60" t="s">
        <v>604</v>
      </c>
    </row>
    <row r="6" customFormat="false" ht="15" hidden="false" customHeight="true" outlineLevel="0" collapsed="false">
      <c r="A6" s="7" t="s">
        <v>605</v>
      </c>
      <c r="B6" s="53" t="n">
        <v>64358</v>
      </c>
      <c r="C6" s="53" t="n">
        <v>333395</v>
      </c>
      <c r="D6" s="12" t="n">
        <f aca="false">B6+C6</f>
        <v>397753</v>
      </c>
    </row>
    <row r="7" customFormat="false" ht="15" hidden="false" customHeight="true" outlineLevel="0" collapsed="false">
      <c r="A7" s="7" t="s">
        <v>606</v>
      </c>
      <c r="B7" s="53" t="n">
        <v>63610</v>
      </c>
      <c r="C7" s="53" t="n">
        <v>63460</v>
      </c>
      <c r="D7" s="12" t="n">
        <f aca="false">B7+C7</f>
        <v>127070</v>
      </c>
    </row>
    <row r="8" customFormat="false" ht="15" hidden="false" customHeight="true" outlineLevel="0" collapsed="false">
      <c r="A8" s="7" t="s">
        <v>607</v>
      </c>
      <c r="B8" s="53" t="n">
        <v>61762</v>
      </c>
      <c r="C8" s="53" t="n">
        <v>61914</v>
      </c>
      <c r="D8" s="12" t="n">
        <f aca="false">B8+C8</f>
        <v>123676</v>
      </c>
    </row>
    <row r="9" customFormat="false" ht="15" hidden="false" customHeight="true" outlineLevel="0" collapsed="false">
      <c r="A9" s="7" t="s">
        <v>608</v>
      </c>
      <c r="B9" s="53" t="n">
        <v>59988</v>
      </c>
      <c r="C9" s="53" t="n">
        <v>278559</v>
      </c>
      <c r="D9" s="12" t="n">
        <f aca="false">B9+C9</f>
        <v>338547</v>
      </c>
    </row>
    <row r="10" customFormat="false" ht="15" hidden="false" customHeight="true" outlineLevel="0" collapsed="false">
      <c r="A10" s="7" t="s">
        <v>609</v>
      </c>
      <c r="B10" s="53" t="n">
        <v>54426</v>
      </c>
      <c r="C10" s="53" t="n">
        <v>249148</v>
      </c>
      <c r="D10" s="12" t="n">
        <f aca="false">B10+C10</f>
        <v>303574</v>
      </c>
    </row>
    <row r="11" customFormat="false" ht="15" hidden="false" customHeight="true" outlineLevel="0" collapsed="false">
      <c r="A11" s="7" t="s">
        <v>610</v>
      </c>
      <c r="B11" s="53" t="n">
        <v>112277</v>
      </c>
      <c r="C11" s="53" t="n">
        <v>1886927</v>
      </c>
      <c r="D11" s="12" t="n">
        <f aca="false">B11+C11</f>
        <v>1999204</v>
      </c>
    </row>
    <row r="12" customFormat="false" ht="15" hidden="false" customHeight="true" outlineLevel="0" collapsed="false">
      <c r="A12" s="11" t="s">
        <v>611</v>
      </c>
      <c r="B12" s="21" t="n">
        <f aca="false">SUM(B6:B11)</f>
        <v>416421</v>
      </c>
      <c r="C12" s="21" t="n">
        <f aca="false">SUM(C6:C11)</f>
        <v>2873403</v>
      </c>
      <c r="D12" s="21" t="n">
        <f aca="false">SUM(D6:D11)</f>
        <v>3289824</v>
      </c>
    </row>
    <row r="13" customFormat="false" ht="15" hidden="false" customHeight="true" outlineLevel="0" collapsed="false">
      <c r="A13" s="7" t="s">
        <v>612</v>
      </c>
      <c r="D13" s="53" t="n">
        <v>-20189</v>
      </c>
    </row>
    <row r="14" customFormat="false" ht="15" hidden="false" customHeight="true" outlineLevel="0" collapsed="false">
      <c r="A14" s="11" t="s">
        <v>613</v>
      </c>
      <c r="D14" s="21" t="n">
        <f aca="false">D12+D13</f>
        <v>3269635</v>
      </c>
    </row>
    <row r="15" customFormat="false" ht="15" hidden="false" customHeight="true" outlineLevel="0" collapsed="false">
      <c r="A15" s="3" t="s">
        <v>614</v>
      </c>
      <c r="D15" s="49" t="n">
        <f aca="false">BS!G20</f>
        <v>3269635</v>
      </c>
    </row>
    <row r="17" customFormat="false" ht="15" hidden="false" customHeight="true" outlineLevel="0" collapsed="false">
      <c r="A17" s="5" t="s">
        <v>615</v>
      </c>
      <c r="B17" s="6"/>
      <c r="C17" s="6"/>
      <c r="D17" s="6"/>
      <c r="E17" s="6"/>
    </row>
    <row r="18" customFormat="false" ht="23.25" hidden="false" customHeight="true" outlineLevel="0" collapsed="false">
      <c r="A18" s="60"/>
      <c r="B18" s="60" t="s">
        <v>602</v>
      </c>
      <c r="C18" s="60" t="s">
        <v>603</v>
      </c>
      <c r="D18" s="60" t="s">
        <v>604</v>
      </c>
    </row>
    <row r="19" customFormat="false" ht="15" hidden="false" customHeight="true" outlineLevel="0" collapsed="false">
      <c r="A19" s="7" t="s">
        <v>616</v>
      </c>
      <c r="B19" s="53" t="n">
        <v>66483</v>
      </c>
      <c r="C19" s="53" t="n">
        <v>154843</v>
      </c>
      <c r="D19" s="12" t="n">
        <f aca="false">B19+C19</f>
        <v>221326</v>
      </c>
    </row>
    <row r="20" customFormat="false" ht="15" hidden="false" customHeight="true" outlineLevel="0" collapsed="false">
      <c r="A20" s="7" t="s">
        <v>617</v>
      </c>
      <c r="B20" s="53" t="n">
        <v>65277</v>
      </c>
      <c r="C20" s="53" t="n">
        <v>283617</v>
      </c>
      <c r="D20" s="12" t="n">
        <f aca="false">B20+C20</f>
        <v>348894</v>
      </c>
    </row>
    <row r="21" customFormat="false" ht="15" hidden="false" customHeight="true" outlineLevel="0" collapsed="false">
      <c r="A21" s="7" t="s">
        <v>618</v>
      </c>
      <c r="B21" s="53" t="n">
        <v>63687</v>
      </c>
      <c r="C21" s="53" t="n">
        <v>97114</v>
      </c>
      <c r="D21" s="12" t="n">
        <f aca="false">B21+C21</f>
        <v>160801</v>
      </c>
    </row>
    <row r="22" customFormat="false" ht="15" hidden="false" customHeight="true" outlineLevel="0" collapsed="false">
      <c r="A22" s="7" t="s">
        <v>619</v>
      </c>
      <c r="B22" s="53" t="n">
        <v>59393</v>
      </c>
      <c r="C22" s="53" t="n">
        <v>395758</v>
      </c>
      <c r="D22" s="12" t="n">
        <f aca="false">B22+C22</f>
        <v>455151</v>
      </c>
    </row>
    <row r="23" customFormat="false" ht="15" hidden="false" customHeight="true" outlineLevel="0" collapsed="false">
      <c r="A23" s="7" t="s">
        <v>620</v>
      </c>
      <c r="B23" s="53" t="n">
        <v>70421</v>
      </c>
      <c r="C23" s="53" t="n">
        <v>470171</v>
      </c>
      <c r="D23" s="12" t="n">
        <f aca="false">B23+C23</f>
        <v>540592</v>
      </c>
    </row>
    <row r="24" customFormat="false" ht="15" hidden="false" customHeight="true" outlineLevel="0" collapsed="false">
      <c r="A24" s="7" t="s">
        <v>610</v>
      </c>
      <c r="B24" s="53" t="n">
        <v>82421</v>
      </c>
      <c r="C24" s="53" t="n">
        <v>1638008</v>
      </c>
      <c r="D24" s="12" t="n">
        <f aca="false">B24+C24</f>
        <v>1720429</v>
      </c>
    </row>
    <row r="25" customFormat="false" ht="15" hidden="false" customHeight="true" outlineLevel="0" collapsed="false">
      <c r="A25" s="11" t="s">
        <v>611</v>
      </c>
      <c r="B25" s="21" t="n">
        <f aca="false">SUM(B19:B24)</f>
        <v>407682</v>
      </c>
      <c r="C25" s="21" t="n">
        <f aca="false">SUM(C19:C24)</f>
        <v>3039511</v>
      </c>
      <c r="D25" s="21" t="n">
        <f aca="false">SUM(D19:D24)</f>
        <v>3447193</v>
      </c>
    </row>
    <row r="26" customFormat="false" ht="15" hidden="false" customHeight="true" outlineLevel="0" collapsed="false">
      <c r="A26" s="7" t="s">
        <v>612</v>
      </c>
      <c r="D26" s="53" t="n">
        <v>-19765</v>
      </c>
    </row>
    <row r="27" customFormat="false" ht="15" hidden="false" customHeight="true" outlineLevel="0" collapsed="false">
      <c r="A27" s="11" t="s">
        <v>613</v>
      </c>
      <c r="D27" s="21" t="n">
        <f aca="false">D25+D26</f>
        <v>3427428</v>
      </c>
    </row>
    <row r="28" customFormat="false" ht="15" hidden="false" customHeight="true" outlineLevel="0" collapsed="false">
      <c r="A28" s="3" t="s">
        <v>621</v>
      </c>
      <c r="D28" s="49" t="n">
        <f aca="false">BS!H20</f>
        <v>3427428</v>
      </c>
    </row>
    <row r="30" customFormat="false" ht="15" hidden="false" customHeight="true" outlineLevel="0" collapsed="false">
      <c r="A30" s="5" t="s">
        <v>622</v>
      </c>
      <c r="B30" s="6"/>
      <c r="C30" s="6"/>
      <c r="D30" s="6"/>
      <c r="E30" s="6"/>
    </row>
    <row r="31" customFormat="false" ht="23.25" hidden="false" customHeight="true" outlineLevel="0" collapsed="false">
      <c r="A31" s="60"/>
      <c r="B31" s="60" t="s">
        <v>623</v>
      </c>
      <c r="C31" s="60" t="s">
        <v>624</v>
      </c>
      <c r="D31" s="60" t="s">
        <v>625</v>
      </c>
      <c r="E31" s="60" t="s">
        <v>626</v>
      </c>
    </row>
    <row r="32" customFormat="false" ht="15" hidden="false" customHeight="true" outlineLevel="0" collapsed="false">
      <c r="A32" s="7" t="s">
        <v>627</v>
      </c>
      <c r="B32" s="53" t="n">
        <v>2764686</v>
      </c>
      <c r="D32" s="64" t="n">
        <v>0.03</v>
      </c>
      <c r="E32" s="96" t="n">
        <v>6.21</v>
      </c>
    </row>
    <row r="33" customFormat="false" ht="15" hidden="false" customHeight="true" outlineLevel="0" collapsed="false">
      <c r="A33" s="7" t="s">
        <v>628</v>
      </c>
      <c r="B33" s="53" t="n">
        <v>176711</v>
      </c>
      <c r="D33" s="64" t="n">
        <v>0.0572</v>
      </c>
      <c r="E33" s="96" t="n">
        <v>3.33</v>
      </c>
    </row>
    <row r="34" customFormat="false" ht="15" hidden="false" customHeight="true" outlineLevel="0" collapsed="false">
      <c r="A34" s="7" t="s">
        <v>629</v>
      </c>
      <c r="B34" s="53" t="n">
        <v>100000</v>
      </c>
      <c r="C34" s="53" t="n">
        <v>182000</v>
      </c>
      <c r="D34" s="64" t="n">
        <v>0.0588</v>
      </c>
    </row>
    <row r="35" customFormat="false" ht="15" hidden="false" customHeight="true" outlineLevel="0" collapsed="false">
      <c r="A35" s="7" t="s">
        <v>630</v>
      </c>
      <c r="B35" s="53" t="n">
        <v>248427</v>
      </c>
      <c r="D35" s="64" t="n">
        <v>0.0317</v>
      </c>
      <c r="E35" s="96" t="n">
        <v>6.56</v>
      </c>
    </row>
    <row r="37" customFormat="false" ht="15" hidden="false" customHeight="true" outlineLevel="0" collapsed="false">
      <c r="A37" s="11" t="s">
        <v>631</v>
      </c>
      <c r="B37" s="64" t="n">
        <v>0.0324</v>
      </c>
      <c r="C37" s="64" t="n">
        <v>0.0332</v>
      </c>
    </row>
    <row r="38" customFormat="false" ht="15" hidden="false" customHeight="true" outlineLevel="0" collapsed="false">
      <c r="A38" s="11" t="s">
        <v>632</v>
      </c>
      <c r="B38" s="97" t="n">
        <v>5.91</v>
      </c>
      <c r="C38" s="97" t="n">
        <v>5.28</v>
      </c>
    </row>
    <row r="39" customFormat="false" ht="15" hidden="false" customHeight="true" outlineLevel="0" collapsed="false">
      <c r="A39" s="7" t="s">
        <v>633</v>
      </c>
      <c r="B39" s="53" t="n">
        <v>300000</v>
      </c>
      <c r="C39" s="53" t="n">
        <v>300000</v>
      </c>
    </row>
    <row r="40" customFormat="false" ht="15" hidden="false" customHeight="true" outlineLevel="0" collapsed="false">
      <c r="A40" s="7" t="s">
        <v>634</v>
      </c>
      <c r="B40" s="53" t="n">
        <v>100000</v>
      </c>
      <c r="C40" s="53" t="n">
        <v>182000</v>
      </c>
    </row>
    <row r="41" customFormat="false" ht="15" hidden="false" customHeight="true" outlineLevel="0" collapsed="false">
      <c r="A41" s="7" t="s">
        <v>635</v>
      </c>
      <c r="B41" s="12" t="n">
        <f aca="false">B39-B40</f>
        <v>200000</v>
      </c>
      <c r="C41" s="12" t="n">
        <f aca="false">C39-C40</f>
        <v>118000</v>
      </c>
    </row>
    <row r="43" customFormat="false" ht="15" hidden="false" customHeight="true" outlineLevel="0" collapsed="false">
      <c r="A43" s="7" t="s">
        <v>636</v>
      </c>
      <c r="B43" s="23" t="n">
        <f aca="false">BS!G36</f>
        <v>0.46384986156721</v>
      </c>
      <c r="C43" s="23" t="n">
        <f aca="false">BS!H36</f>
        <v>0.474882911712043</v>
      </c>
    </row>
    <row r="44" customFormat="false" ht="15" hidden="false" customHeight="true" outlineLevel="0" collapsed="false">
      <c r="A44" s="7" t="s">
        <v>637</v>
      </c>
      <c r="B44" s="64" t="n">
        <v>0.75</v>
      </c>
      <c r="C44" s="64" t="n">
        <v>0.75</v>
      </c>
    </row>
    <row r="45" customFormat="false" ht="15" hidden="false" customHeight="true" outlineLevel="0" collapsed="false">
      <c r="A45" s="7" t="s">
        <v>638</v>
      </c>
      <c r="B45" s="13" t="n">
        <f aca="false">B44-B43</f>
        <v>0.28615013843279</v>
      </c>
      <c r="C45" s="13" t="n">
        <f aca="false">C44-C43</f>
        <v>0.275117088287957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false" showRowColHeaders="true" showZeros="true" rightToLeft="false" tabSelected="false" showOutlineSymbols="true" defaultGridColor="true" view="normal" topLeftCell="A1" colorId="64" zoomScale="159" zoomScaleNormal="159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639</v>
      </c>
    </row>
    <row r="2" customFormat="false" ht="15" hidden="false" customHeight="true" outlineLevel="0" collapsed="false">
      <c r="A2" s="3" t="s">
        <v>640</v>
      </c>
    </row>
    <row r="3" customFormat="false" ht="23.25" hidden="false" customHeight="true" outlineLevel="0" collapsed="false"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641</v>
      </c>
    </row>
    <row r="5" customFormat="false" ht="15" hidden="false" customHeight="true" outlineLevel="0" collapsed="false">
      <c r="A5" s="5" t="s">
        <v>642</v>
      </c>
      <c r="B5" s="6"/>
      <c r="C5" s="6"/>
      <c r="D5" s="6"/>
      <c r="E5" s="6"/>
      <c r="F5" s="6"/>
      <c r="G5" s="6"/>
      <c r="H5" s="6"/>
    </row>
    <row r="6" customFormat="false" ht="15" hidden="false" customHeight="true" outlineLevel="0" collapsed="false">
      <c r="A6" s="7" t="s">
        <v>296</v>
      </c>
      <c r="C6" s="53" t="n">
        <v>1808604</v>
      </c>
      <c r="D6" s="53" t="n">
        <v>2445550</v>
      </c>
      <c r="E6" s="53" t="n">
        <v>3110516</v>
      </c>
      <c r="F6" s="53" t="n">
        <v>5106772</v>
      </c>
      <c r="G6" s="53" t="n">
        <v>5795044</v>
      </c>
      <c r="H6" s="53" t="n">
        <v>6282124</v>
      </c>
    </row>
    <row r="7" customFormat="false" ht="15" hidden="false" customHeight="true" outlineLevel="0" collapsed="false">
      <c r="A7" s="7" t="s">
        <v>643</v>
      </c>
      <c r="C7" s="53" t="n">
        <v>602191</v>
      </c>
      <c r="D7" s="53" t="n">
        <v>380637</v>
      </c>
      <c r="E7" s="53" t="n">
        <v>1653916</v>
      </c>
      <c r="F7" s="53" t="n">
        <v>391115</v>
      </c>
      <c r="G7" s="53" t="n">
        <v>83860</v>
      </c>
      <c r="H7" s="53" t="n">
        <v>0</v>
      </c>
    </row>
    <row r="8" customFormat="false" ht="15" hidden="false" customHeight="true" outlineLevel="0" collapsed="false">
      <c r="A8" s="7" t="s">
        <v>644</v>
      </c>
      <c r="F8" s="53" t="n">
        <v>27430</v>
      </c>
      <c r="G8" s="53" t="n">
        <v>120883</v>
      </c>
      <c r="H8" s="53" t="n">
        <v>37488</v>
      </c>
    </row>
    <row r="9" customFormat="false" ht="15" hidden="false" customHeight="true" outlineLevel="0" collapsed="false">
      <c r="A9" s="7" t="s">
        <v>645</v>
      </c>
      <c r="F9" s="53" t="n">
        <v>12495</v>
      </c>
      <c r="G9" s="53" t="n">
        <v>10463</v>
      </c>
      <c r="H9" s="53" t="n">
        <v>4465</v>
      </c>
    </row>
    <row r="10" customFormat="false" ht="15" hidden="false" customHeight="true" outlineLevel="0" collapsed="false">
      <c r="A10" s="7" t="s">
        <v>646</v>
      </c>
      <c r="C10" s="53" t="n">
        <v>55696</v>
      </c>
      <c r="D10" s="53" t="n">
        <v>61384</v>
      </c>
      <c r="E10" s="53" t="n">
        <v>61109</v>
      </c>
      <c r="F10" s="53" t="n">
        <v>47628</v>
      </c>
      <c r="G10" s="53" t="n">
        <v>49687</v>
      </c>
      <c r="H10" s="53" t="n">
        <v>36545</v>
      </c>
    </row>
    <row r="11" customFormat="false" ht="15" hidden="false" customHeight="true" outlineLevel="0" collapsed="false">
      <c r="A11" s="7" t="s">
        <v>647</v>
      </c>
      <c r="C11" s="53" t="n">
        <v>38257</v>
      </c>
      <c r="D11" s="53" t="n">
        <v>132315</v>
      </c>
      <c r="E11" s="53" t="n">
        <v>218533</v>
      </c>
      <c r="F11" s="53" t="n">
        <v>124272</v>
      </c>
      <c r="G11" s="53" t="n">
        <v>195372</v>
      </c>
    </row>
    <row r="12" customFormat="false" ht="15" hidden="false" customHeight="true" outlineLevel="0" collapsed="false">
      <c r="A12" s="7" t="s">
        <v>648</v>
      </c>
      <c r="F12" s="53" t="n">
        <v>85477</v>
      </c>
      <c r="G12" s="53" t="n">
        <v>24350</v>
      </c>
    </row>
    <row r="13" customFormat="false" ht="15" hidden="false" customHeight="true" outlineLevel="0" collapsed="false">
      <c r="A13" s="7" t="s">
        <v>649</v>
      </c>
      <c r="C13" s="53" t="n">
        <v>-14500</v>
      </c>
      <c r="G13" s="53" t="n">
        <v>2465</v>
      </c>
    </row>
    <row r="14" customFormat="false" ht="15" hidden="false" customHeight="true" outlineLevel="0" collapsed="false">
      <c r="A14" s="11" t="s">
        <v>650</v>
      </c>
      <c r="C14" s="21" t="n">
        <f aca="false">SUM(C6:C13)</f>
        <v>2490248</v>
      </c>
      <c r="D14" s="21" t="n">
        <f aca="false">SUM(D6:D13)</f>
        <v>3019886</v>
      </c>
      <c r="E14" s="21" t="n">
        <f aca="false">SUM(E6:E13)</f>
        <v>5044074</v>
      </c>
      <c r="F14" s="21" t="n">
        <f aca="false">SUM(F6:F13)</f>
        <v>5795189</v>
      </c>
      <c r="G14" s="21" t="n">
        <f aca="false">SUM(G6:G13)</f>
        <v>6282124</v>
      </c>
      <c r="H14" s="53" t="n">
        <v>6492428</v>
      </c>
    </row>
    <row r="15" customFormat="false" ht="15" hidden="false" customHeight="true" outlineLevel="0" collapsed="false">
      <c r="A15" s="3" t="s">
        <v>651</v>
      </c>
      <c r="C15" s="49" t="n">
        <f aca="false">BS!C7</f>
        <v>2445550</v>
      </c>
      <c r="D15" s="49" t="n">
        <f aca="false">BS!D7</f>
        <v>3110516</v>
      </c>
      <c r="E15" s="49" t="n">
        <f aca="false">BS!E7</f>
        <v>5106772</v>
      </c>
      <c r="F15" s="49" t="n">
        <f aca="false">BS!F7</f>
        <v>5795044</v>
      </c>
      <c r="G15" s="49" t="n">
        <f aca="false">BS!G7</f>
        <v>6282124</v>
      </c>
      <c r="H15" s="49" t="n">
        <f aca="false">BS!H7</f>
        <v>6492428</v>
      </c>
    </row>
    <row r="16" customFormat="false" ht="15" hidden="false" customHeight="true" outlineLevel="0" collapsed="false">
      <c r="A16" s="3" t="s">
        <v>270</v>
      </c>
      <c r="C16" s="61" t="n">
        <f aca="false">C14-C15</f>
        <v>44698</v>
      </c>
      <c r="D16" s="61" t="n">
        <f aca="false">D14-D15</f>
        <v>-90630</v>
      </c>
      <c r="E16" s="61" t="n">
        <f aca="false">E14-E15</f>
        <v>-62698</v>
      </c>
      <c r="F16" s="61" t="n">
        <f aca="false">F14-F15</f>
        <v>145</v>
      </c>
      <c r="G16" s="61" t="n">
        <f aca="false">G14-G15</f>
        <v>0</v>
      </c>
    </row>
    <row r="18" customFormat="false" ht="15" hidden="false" customHeight="true" outlineLevel="0" collapsed="false">
      <c r="A18" s="5" t="s">
        <v>652</v>
      </c>
      <c r="B18" s="6"/>
      <c r="C18" s="6"/>
      <c r="D18" s="6"/>
      <c r="E18" s="6"/>
      <c r="F18" s="6"/>
      <c r="G18" s="6"/>
      <c r="H18" s="6"/>
    </row>
    <row r="19" customFormat="false" ht="15" hidden="false" customHeight="true" outlineLevel="0" collapsed="false">
      <c r="A19" s="7" t="s">
        <v>653</v>
      </c>
      <c r="H19" s="53" t="n">
        <v>260168</v>
      </c>
    </row>
    <row r="20" customFormat="false" ht="15" hidden="false" customHeight="true" outlineLevel="0" collapsed="false">
      <c r="A20" s="7" t="s">
        <v>654</v>
      </c>
      <c r="H20" s="53" t="n">
        <v>6232260</v>
      </c>
    </row>
    <row r="21" customFormat="false" ht="15" hidden="false" customHeight="true" outlineLevel="0" collapsed="false">
      <c r="A21" s="7" t="s">
        <v>655</v>
      </c>
      <c r="H21" s="13" t="n">
        <f aca="false">IF(H14=0,"",H19/H14)</f>
        <v>0.0400725275659584</v>
      </c>
    </row>
    <row r="23" customFormat="false" ht="15" hidden="false" customHeight="true" outlineLevel="0" collapsed="false">
      <c r="A23" s="7" t="s">
        <v>656</v>
      </c>
      <c r="G23" s="53" t="n">
        <v>205499</v>
      </c>
      <c r="H23" s="53" t="n">
        <v>245965</v>
      </c>
    </row>
    <row r="24" customFormat="false" ht="15" hidden="false" customHeight="true" outlineLevel="0" collapsed="false">
      <c r="A24" s="7" t="s">
        <v>657</v>
      </c>
      <c r="G24" s="53" t="n">
        <v>159409</v>
      </c>
    </row>
    <row r="25" customFormat="false" ht="15" hidden="false" customHeight="true" outlineLevel="0" collapsed="false">
      <c r="A25" s="11" t="s">
        <v>658</v>
      </c>
      <c r="G25" s="12" t="n">
        <f aca="false">G19+G23</f>
        <v>205499</v>
      </c>
      <c r="H25" s="53" t="n">
        <v>506133</v>
      </c>
    </row>
    <row r="27" customFormat="false" ht="15" hidden="false" customHeight="true" outlineLevel="0" collapsed="false">
      <c r="A27" s="5" t="s">
        <v>659</v>
      </c>
      <c r="B27" s="6"/>
      <c r="C27" s="6"/>
      <c r="D27" s="6"/>
      <c r="E27" s="6"/>
      <c r="F27" s="6"/>
      <c r="G27" s="6"/>
      <c r="H27" s="6"/>
    </row>
    <row r="28" customFormat="false" ht="15" hidden="false" customHeight="true" outlineLevel="0" collapsed="false">
      <c r="A28" s="7" t="s">
        <v>660</v>
      </c>
      <c r="B28" s="10" t="n">
        <f aca="false">CFS!B40</f>
        <v>0</v>
      </c>
      <c r="C28" s="10" t="n">
        <f aca="false">CFS!C40</f>
        <v>0</v>
      </c>
      <c r="D28" s="10" t="n">
        <f aca="false">CFS!D40</f>
        <v>0</v>
      </c>
      <c r="E28" s="10" t="n">
        <f aca="false">CFS!E40</f>
        <v>0</v>
      </c>
      <c r="F28" s="10" t="n">
        <f aca="false">CFS!F40</f>
        <v>-26229</v>
      </c>
      <c r="G28" s="10" t="n">
        <f aca="false">CFS!G40</f>
        <v>-120883</v>
      </c>
      <c r="H28" s="10" t="n">
        <f aca="false">CFS!H40</f>
        <v>-37488</v>
      </c>
    </row>
    <row r="29" customFormat="false" ht="15" hidden="false" customHeight="true" outlineLevel="0" collapsed="false">
      <c r="A29" s="7" t="s">
        <v>661</v>
      </c>
      <c r="B29" s="10" t="n">
        <f aca="false">CFS!B47</f>
        <v>-51932</v>
      </c>
      <c r="C29" s="10" t="n">
        <f aca="false">CFS!C47</f>
        <v>-45214</v>
      </c>
      <c r="D29" s="10" t="n">
        <f aca="false">CFS!D47</f>
        <v>-147154</v>
      </c>
      <c r="E29" s="10" t="n">
        <f aca="false">CFS!E47</f>
        <v>-96676</v>
      </c>
      <c r="F29" s="10" t="n">
        <f aca="false">CFS!F47</f>
        <v>-65411</v>
      </c>
      <c r="G29" s="10" t="n">
        <f aca="false">CFS!G47</f>
        <v>-35565</v>
      </c>
      <c r="H29" s="10" t="n">
        <f aca="false">CFS!H47</f>
        <v>-18533</v>
      </c>
    </row>
    <row r="30" customFormat="false" ht="15" hidden="false" customHeight="true" outlineLevel="0" collapsed="false">
      <c r="A30" s="11" t="s">
        <v>662</v>
      </c>
      <c r="B30" s="21" t="n">
        <f aca="false">B28+B29</f>
        <v>-51932</v>
      </c>
      <c r="C30" s="21" t="n">
        <f aca="false">C28+C29</f>
        <v>-45214</v>
      </c>
      <c r="D30" s="21" t="n">
        <f aca="false">D28+D29</f>
        <v>-147154</v>
      </c>
      <c r="E30" s="21" t="n">
        <f aca="false">E28+E29</f>
        <v>-96676</v>
      </c>
      <c r="F30" s="21" t="n">
        <f aca="false">F28+F29</f>
        <v>-91640</v>
      </c>
      <c r="G30" s="21" t="n">
        <f aca="false">G28+G29</f>
        <v>-156448</v>
      </c>
      <c r="H30" s="21" t="n">
        <f aca="false">H28+H29</f>
        <v>-56021</v>
      </c>
    </row>
    <row r="32" customFormat="false" ht="15" hidden="false" customHeight="true" outlineLevel="0" collapsed="false">
      <c r="A32" s="5" t="s">
        <v>663</v>
      </c>
      <c r="B32" s="6"/>
      <c r="C32" s="6"/>
      <c r="D32" s="6"/>
      <c r="E32" s="6"/>
      <c r="F32" s="6"/>
      <c r="G32" s="6"/>
      <c r="H32" s="6"/>
    </row>
    <row r="33" customFormat="false" ht="15" hidden="false" customHeight="true" outlineLevel="0" collapsed="false">
      <c r="A33" s="7" t="s">
        <v>664</v>
      </c>
      <c r="G33" s="53" t="n">
        <v>17090</v>
      </c>
      <c r="H33" s="53" t="n">
        <v>18416</v>
      </c>
    </row>
    <row r="34" customFormat="false" ht="15" hidden="false" customHeight="true" outlineLevel="0" collapsed="false">
      <c r="A34" s="7" t="s">
        <v>665</v>
      </c>
      <c r="G34" s="53" t="n">
        <v>3228</v>
      </c>
      <c r="H34" s="53" t="n">
        <v>3717</v>
      </c>
    </row>
    <row r="35" customFormat="false" ht="15" hidden="false" customHeight="true" outlineLevel="0" collapsed="false">
      <c r="A35" s="7" t="s">
        <v>666</v>
      </c>
      <c r="G35" s="13" t="n">
        <f aca="false">G34/(G33+G34)</f>
        <v>0.158873904911901</v>
      </c>
      <c r="H35" s="13" t="n">
        <f aca="false">H34/(H33+H34)</f>
        <v>0.167939276193919</v>
      </c>
    </row>
    <row r="36" customFormat="false" ht="15" hidden="false" customHeight="true" outlineLevel="0" collapsed="false">
      <c r="A36" s="3" t="s">
        <v>667</v>
      </c>
      <c r="G36" s="53" t="n">
        <v>36770</v>
      </c>
      <c r="H36" s="53" t="n">
        <v>37755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2026-03-18T20:38:26Z</dcterms:created>
  <dc:creator>openpyxl</dc:creator>
  <dc:description/>
  <dc:language>en-US</dc:language>
  <cp:lastModifiedBy>Josh Varghese</cp:lastModifiedBy>
  <dcterms:modified xsi:type="dcterms:W3CDTF">2026-03-19T22:53:37Z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